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FF52FF8-E170-416F-8E6A-EEF07731A0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2" sheetId="4" r:id="rId1"/>
  </sheets>
  <definedNames>
    <definedName name="_xlnm._FilterDatabase" localSheetId="0" hidden="1">'2022'!$A$14:$IH$191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9" i="4" l="1"/>
  <c r="I190" i="4" l="1"/>
  <c r="E190" i="4"/>
  <c r="K189" i="4"/>
  <c r="K188" i="4" s="1"/>
  <c r="K187" i="4" s="1"/>
  <c r="J189" i="4"/>
  <c r="G189" i="4"/>
  <c r="G188" i="4" s="1"/>
  <c r="G187" i="4" s="1"/>
  <c r="F189" i="4"/>
  <c r="F188" i="4" s="1"/>
  <c r="K186" i="4"/>
  <c r="I186" i="4" s="1"/>
  <c r="E186" i="4"/>
  <c r="J185" i="4"/>
  <c r="E185" i="4"/>
  <c r="L184" i="4"/>
  <c r="I184" i="4" s="1"/>
  <c r="E184" i="4"/>
  <c r="L183" i="4"/>
  <c r="L182" i="4" s="1"/>
  <c r="L181" i="4" s="1"/>
  <c r="L191" i="4" s="1"/>
  <c r="H183" i="4"/>
  <c r="F183" i="4"/>
  <c r="F182" i="4" s="1"/>
  <c r="F181" i="4" s="1"/>
  <c r="H182" i="4"/>
  <c r="H181" i="4" s="1"/>
  <c r="H191" i="4" s="1"/>
  <c r="K180" i="4"/>
  <c r="K179" i="4" s="1"/>
  <c r="I179" i="4" s="1"/>
  <c r="E180" i="4"/>
  <c r="G179" i="4"/>
  <c r="G178" i="4" s="1"/>
  <c r="E178" i="4" s="1"/>
  <c r="J177" i="4"/>
  <c r="J176" i="4" s="1"/>
  <c r="K173" i="4"/>
  <c r="I173" i="4" s="1"/>
  <c r="I172" i="4"/>
  <c r="E172" i="4"/>
  <c r="J171" i="4"/>
  <c r="F171" i="4"/>
  <c r="F170" i="4" s="1"/>
  <c r="I169" i="4"/>
  <c r="E169" i="4"/>
  <c r="J168" i="4"/>
  <c r="I168" i="4" s="1"/>
  <c r="F168" i="4"/>
  <c r="E168" i="4" s="1"/>
  <c r="J167" i="4"/>
  <c r="I167" i="4" s="1"/>
  <c r="E167" i="4"/>
  <c r="J166" i="4"/>
  <c r="E166" i="4"/>
  <c r="F165" i="4"/>
  <c r="E165" i="4" s="1"/>
  <c r="J162" i="4"/>
  <c r="I162" i="4" s="1"/>
  <c r="E162" i="4"/>
  <c r="I161" i="4"/>
  <c r="E161" i="4"/>
  <c r="I160" i="4"/>
  <c r="E160" i="4"/>
  <c r="I159" i="4"/>
  <c r="E159" i="4"/>
  <c r="J158" i="4"/>
  <c r="J157" i="4"/>
  <c r="I157" i="4" s="1"/>
  <c r="E157" i="4"/>
  <c r="I156" i="4"/>
  <c r="E156" i="4"/>
  <c r="I155" i="4"/>
  <c r="E155" i="4"/>
  <c r="I154" i="4"/>
  <c r="E154" i="4"/>
  <c r="K153" i="4"/>
  <c r="K152" i="4" s="1"/>
  <c r="G153" i="4"/>
  <c r="G152" i="4" s="1"/>
  <c r="J151" i="4"/>
  <c r="I151" i="4" s="1"/>
  <c r="E151" i="4"/>
  <c r="J150" i="4"/>
  <c r="I150" i="4" s="1"/>
  <c r="E150" i="4"/>
  <c r="I149" i="4"/>
  <c r="E149" i="4"/>
  <c r="I148" i="4"/>
  <c r="E148" i="4"/>
  <c r="I147" i="4"/>
  <c r="E147" i="4"/>
  <c r="I146" i="4"/>
  <c r="E146" i="4"/>
  <c r="K145" i="4"/>
  <c r="K139" i="4" s="1"/>
  <c r="G145" i="4"/>
  <c r="G139" i="4" s="1"/>
  <c r="I144" i="4"/>
  <c r="E144" i="4"/>
  <c r="J143" i="4"/>
  <c r="I143" i="4" s="1"/>
  <c r="I142" i="4"/>
  <c r="E142" i="4"/>
  <c r="J141" i="4"/>
  <c r="I141" i="4" s="1"/>
  <c r="J138" i="4"/>
  <c r="I138" i="4" s="1"/>
  <c r="E138" i="4"/>
  <c r="J137" i="4"/>
  <c r="E137" i="4"/>
  <c r="F136" i="4"/>
  <c r="E136" i="4" s="1"/>
  <c r="J135" i="4"/>
  <c r="I135" i="4" s="1"/>
  <c r="E135" i="4"/>
  <c r="I134" i="4"/>
  <c r="E134" i="4"/>
  <c r="J133" i="4"/>
  <c r="I133" i="4" s="1"/>
  <c r="E133" i="4"/>
  <c r="I132" i="4"/>
  <c r="E132" i="4"/>
  <c r="J131" i="4"/>
  <c r="I131" i="4" s="1"/>
  <c r="E131" i="4"/>
  <c r="K130" i="4"/>
  <c r="E130" i="4"/>
  <c r="J129" i="4"/>
  <c r="I129" i="4" s="1"/>
  <c r="E129" i="4"/>
  <c r="J128" i="4"/>
  <c r="I128" i="4" s="1"/>
  <c r="I127" i="4"/>
  <c r="E127" i="4"/>
  <c r="J126" i="4"/>
  <c r="I126" i="4" s="1"/>
  <c r="E126" i="4"/>
  <c r="J125" i="4"/>
  <c r="I125" i="4" s="1"/>
  <c r="E125" i="4"/>
  <c r="G124" i="4"/>
  <c r="J123" i="4"/>
  <c r="I123" i="4" s="1"/>
  <c r="E123" i="4"/>
  <c r="I122" i="4"/>
  <c r="E122" i="4"/>
  <c r="J121" i="4"/>
  <c r="I121" i="4" s="1"/>
  <c r="E121" i="4"/>
  <c r="I120" i="4"/>
  <c r="E120" i="4"/>
  <c r="J119" i="4"/>
  <c r="I119" i="4" s="1"/>
  <c r="J118" i="4"/>
  <c r="E118" i="4"/>
  <c r="K117" i="4"/>
  <c r="K115" i="4" s="1"/>
  <c r="J116" i="4"/>
  <c r="E116" i="4"/>
  <c r="I113" i="4"/>
  <c r="E113" i="4"/>
  <c r="J112" i="4"/>
  <c r="I112" i="4" s="1"/>
  <c r="E112" i="4"/>
  <c r="J111" i="4"/>
  <c r="I111" i="4" s="1"/>
  <c r="E111" i="4"/>
  <c r="J110" i="4"/>
  <c r="I110" i="4" s="1"/>
  <c r="E110" i="4"/>
  <c r="J109" i="4"/>
  <c r="I108" i="4"/>
  <c r="E108" i="4"/>
  <c r="K107" i="4"/>
  <c r="J107" i="4"/>
  <c r="E107" i="4"/>
  <c r="J106" i="4"/>
  <c r="E106" i="4"/>
  <c r="K105" i="4"/>
  <c r="J105" i="4"/>
  <c r="F97" i="4"/>
  <c r="K104" i="4"/>
  <c r="J104" i="4"/>
  <c r="E104" i="4"/>
  <c r="K103" i="4"/>
  <c r="J103" i="4"/>
  <c r="E103" i="4"/>
  <c r="I102" i="4"/>
  <c r="E102" i="4"/>
  <c r="K101" i="4"/>
  <c r="J101" i="4"/>
  <c r="E101" i="4"/>
  <c r="J100" i="4"/>
  <c r="I100" i="4" s="1"/>
  <c r="E100" i="4"/>
  <c r="J99" i="4"/>
  <c r="I99" i="4" s="1"/>
  <c r="E99" i="4"/>
  <c r="K98" i="4"/>
  <c r="J96" i="4"/>
  <c r="I96" i="4" s="1"/>
  <c r="E96" i="4"/>
  <c r="J95" i="4"/>
  <c r="I95" i="4" s="1"/>
  <c r="I94" i="4"/>
  <c r="J93" i="4"/>
  <c r="E93" i="4"/>
  <c r="J92" i="4"/>
  <c r="E92" i="4"/>
  <c r="K91" i="4"/>
  <c r="G91" i="4"/>
  <c r="I89" i="4"/>
  <c r="J88" i="4"/>
  <c r="F87" i="4"/>
  <c r="E87" i="4" s="1"/>
  <c r="J86" i="4"/>
  <c r="I86" i="4" s="1"/>
  <c r="E86" i="4"/>
  <c r="J85" i="4"/>
  <c r="E85" i="4"/>
  <c r="I84" i="4"/>
  <c r="E84" i="4"/>
  <c r="I83" i="4"/>
  <c r="E83" i="4"/>
  <c r="I82" i="4"/>
  <c r="E82" i="4"/>
  <c r="I81" i="4"/>
  <c r="E81" i="4"/>
  <c r="K80" i="4"/>
  <c r="J80" i="4"/>
  <c r="E80" i="4"/>
  <c r="J79" i="4"/>
  <c r="E79" i="4"/>
  <c r="I78" i="4"/>
  <c r="E78" i="4"/>
  <c r="I77" i="4"/>
  <c r="E77" i="4"/>
  <c r="J76" i="4"/>
  <c r="E76" i="4"/>
  <c r="I75" i="4"/>
  <c r="E75" i="4"/>
  <c r="J74" i="4"/>
  <c r="E74" i="4"/>
  <c r="K73" i="4"/>
  <c r="J73" i="4"/>
  <c r="K72" i="4"/>
  <c r="J72" i="4"/>
  <c r="I71" i="4"/>
  <c r="E71" i="4"/>
  <c r="K70" i="4"/>
  <c r="J70" i="4"/>
  <c r="E70" i="4"/>
  <c r="K69" i="4"/>
  <c r="J69" i="4"/>
  <c r="I68" i="4"/>
  <c r="E68" i="4"/>
  <c r="I67" i="4"/>
  <c r="E67" i="4"/>
  <c r="K66" i="4"/>
  <c r="I65" i="4"/>
  <c r="E65" i="4"/>
  <c r="K64" i="4"/>
  <c r="J64" i="4"/>
  <c r="E64" i="4"/>
  <c r="K63" i="4"/>
  <c r="E63" i="4"/>
  <c r="K62" i="4"/>
  <c r="J61" i="4"/>
  <c r="G60" i="4"/>
  <c r="J59" i="4"/>
  <c r="I59" i="4" s="1"/>
  <c r="K58" i="4"/>
  <c r="J58" i="4"/>
  <c r="K54" i="4"/>
  <c r="K52" i="4" s="1"/>
  <c r="I53" i="4"/>
  <c r="E53" i="4"/>
  <c r="J52" i="4"/>
  <c r="F52" i="4"/>
  <c r="F51" i="4" s="1"/>
  <c r="J51" i="4"/>
  <c r="I50" i="4"/>
  <c r="E50" i="4"/>
  <c r="K49" i="4"/>
  <c r="J49" i="4"/>
  <c r="J48" i="4" s="1"/>
  <c r="G49" i="4"/>
  <c r="G48" i="4" s="1"/>
  <c r="F49" i="4"/>
  <c r="J47" i="4"/>
  <c r="I47" i="4" s="1"/>
  <c r="E47" i="4"/>
  <c r="J46" i="4"/>
  <c r="I46" i="4" s="1"/>
  <c r="J45" i="4"/>
  <c r="E45" i="4"/>
  <c r="J42" i="4"/>
  <c r="E42" i="4"/>
  <c r="F41" i="4"/>
  <c r="E41" i="4" s="1"/>
  <c r="I40" i="4"/>
  <c r="E40" i="4"/>
  <c r="I39" i="4"/>
  <c r="E39" i="4"/>
  <c r="J38" i="4"/>
  <c r="I38" i="4" s="1"/>
  <c r="F38" i="4"/>
  <c r="J36" i="4"/>
  <c r="I36" i="4" s="1"/>
  <c r="I35" i="4"/>
  <c r="E35" i="4"/>
  <c r="I34" i="4"/>
  <c r="E34" i="4"/>
  <c r="I33" i="4"/>
  <c r="E33" i="4"/>
  <c r="K32" i="4"/>
  <c r="J32" i="4"/>
  <c r="J31" i="4"/>
  <c r="I31" i="4" s="1"/>
  <c r="J30" i="4"/>
  <c r="E30" i="4"/>
  <c r="I29" i="4"/>
  <c r="E29" i="4"/>
  <c r="I27" i="4"/>
  <c r="E27" i="4"/>
  <c r="I26" i="4"/>
  <c r="I25" i="4"/>
  <c r="E25" i="4"/>
  <c r="I24" i="4"/>
  <c r="J23" i="4"/>
  <c r="I23" i="4" s="1"/>
  <c r="E23" i="4"/>
  <c r="K22" i="4"/>
  <c r="F22" i="4"/>
  <c r="J20" i="4"/>
  <c r="I20" i="4" s="1"/>
  <c r="J19" i="4"/>
  <c r="E19" i="4"/>
  <c r="K171" i="4" l="1"/>
  <c r="K170" i="4" s="1"/>
  <c r="K163" i="4" s="1"/>
  <c r="I177" i="4"/>
  <c r="J44" i="4"/>
  <c r="J43" i="4" s="1"/>
  <c r="I43" i="4" s="1"/>
  <c r="J22" i="4"/>
  <c r="J57" i="4"/>
  <c r="J145" i="4"/>
  <c r="I107" i="4"/>
  <c r="J165" i="4"/>
  <c r="I165" i="4" s="1"/>
  <c r="K183" i="4"/>
  <c r="K182" i="4" s="1"/>
  <c r="K181" i="4" s="1"/>
  <c r="K51" i="4"/>
  <c r="I52" i="4"/>
  <c r="E189" i="4"/>
  <c r="K178" i="4"/>
  <c r="K174" i="4" s="1"/>
  <c r="K28" i="4"/>
  <c r="K21" i="4" s="1"/>
  <c r="E49" i="4"/>
  <c r="I61" i="4"/>
  <c r="I93" i="4"/>
  <c r="I98" i="4"/>
  <c r="I105" i="4"/>
  <c r="I106" i="4"/>
  <c r="K124" i="4"/>
  <c r="K114" i="4" s="1"/>
  <c r="I130" i="4"/>
  <c r="J140" i="4"/>
  <c r="I158" i="4"/>
  <c r="E188" i="4"/>
  <c r="I44" i="4"/>
  <c r="I49" i="4"/>
  <c r="I51" i="4"/>
  <c r="I54" i="4"/>
  <c r="I62" i="4"/>
  <c r="I66" i="4"/>
  <c r="I103" i="4"/>
  <c r="I180" i="4"/>
  <c r="I72" i="4"/>
  <c r="J164" i="4"/>
  <c r="I164" i="4" s="1"/>
  <c r="J18" i="4"/>
  <c r="I19" i="4"/>
  <c r="I101" i="4"/>
  <c r="I109" i="4"/>
  <c r="J115" i="4"/>
  <c r="I116" i="4"/>
  <c r="E69" i="4"/>
  <c r="E143" i="4"/>
  <c r="G22" i="4"/>
  <c r="E22" i="4" s="1"/>
  <c r="E26" i="4"/>
  <c r="F28" i="4"/>
  <c r="E31" i="4"/>
  <c r="F37" i="4"/>
  <c r="E37" i="4" s="1"/>
  <c r="E38" i="4"/>
  <c r="G52" i="4"/>
  <c r="E54" i="4"/>
  <c r="E61" i="4"/>
  <c r="F60" i="4"/>
  <c r="E60" i="4" s="1"/>
  <c r="I63" i="4"/>
  <c r="K60" i="4"/>
  <c r="I85" i="4"/>
  <c r="E95" i="4"/>
  <c r="F91" i="4"/>
  <c r="E91" i="4" s="1"/>
  <c r="K97" i="4"/>
  <c r="K90" i="4" s="1"/>
  <c r="F140" i="4"/>
  <c r="E141" i="4"/>
  <c r="I22" i="4"/>
  <c r="G28" i="4"/>
  <c r="F145" i="4"/>
  <c r="E145" i="4" s="1"/>
  <c r="E24" i="4"/>
  <c r="E46" i="4"/>
  <c r="F44" i="4"/>
  <c r="I88" i="4"/>
  <c r="J87" i="4"/>
  <c r="I87" i="4" s="1"/>
  <c r="I80" i="4"/>
  <c r="E119" i="4"/>
  <c r="F115" i="4"/>
  <c r="J188" i="4"/>
  <c r="I189" i="4"/>
  <c r="I42" i="4"/>
  <c r="J41" i="4"/>
  <c r="G57" i="4"/>
  <c r="G56" i="4" s="1"/>
  <c r="E59" i="4"/>
  <c r="J60" i="4"/>
  <c r="I64" i="4"/>
  <c r="I70" i="4"/>
  <c r="E73" i="4"/>
  <c r="I79" i="4"/>
  <c r="E105" i="4"/>
  <c r="G115" i="4"/>
  <c r="G114" i="4" s="1"/>
  <c r="E117" i="4"/>
  <c r="E158" i="4"/>
  <c r="F153" i="4"/>
  <c r="G171" i="4"/>
  <c r="E173" i="4"/>
  <c r="F18" i="4"/>
  <c r="E20" i="4"/>
  <c r="I118" i="4"/>
  <c r="I171" i="4"/>
  <c r="J170" i="4"/>
  <c r="I170" i="4" s="1"/>
  <c r="F176" i="4"/>
  <c r="E177" i="4"/>
  <c r="E88" i="4"/>
  <c r="E94" i="4"/>
  <c r="E109" i="4"/>
  <c r="I104" i="4"/>
  <c r="J28" i="4"/>
  <c r="I30" i="4"/>
  <c r="E32" i="4"/>
  <c r="E36" i="4"/>
  <c r="I45" i="4"/>
  <c r="F48" i="4"/>
  <c r="E48" i="4" s="1"/>
  <c r="K48" i="4"/>
  <c r="F57" i="4"/>
  <c r="K57" i="4"/>
  <c r="E58" i="4"/>
  <c r="E62" i="4"/>
  <c r="E66" i="4"/>
  <c r="I69" i="4"/>
  <c r="E72" i="4"/>
  <c r="I73" i="4"/>
  <c r="I74" i="4"/>
  <c r="I76" i="4"/>
  <c r="E98" i="4"/>
  <c r="F124" i="4"/>
  <c r="E124" i="4" s="1"/>
  <c r="E128" i="4"/>
  <c r="J136" i="4"/>
  <c r="I136" i="4" s="1"/>
  <c r="I137" i="4"/>
  <c r="I145" i="4"/>
  <c r="J153" i="4"/>
  <c r="I166" i="4"/>
  <c r="E179" i="4"/>
  <c r="M184" i="4"/>
  <c r="F187" i="4"/>
  <c r="E187" i="4" s="1"/>
  <c r="I92" i="4"/>
  <c r="J97" i="4"/>
  <c r="I117" i="4"/>
  <c r="J175" i="4"/>
  <c r="I176" i="4"/>
  <c r="J183" i="4"/>
  <c r="I185" i="4"/>
  <c r="G183" i="4"/>
  <c r="I32" i="4"/>
  <c r="I58" i="4"/>
  <c r="J91" i="4"/>
  <c r="I91" i="4" s="1"/>
  <c r="G97" i="4"/>
  <c r="G90" i="4" s="1"/>
  <c r="J124" i="4"/>
  <c r="I124" i="4" s="1"/>
  <c r="F164" i="4"/>
  <c r="G174" i="4"/>
  <c r="J163" i="4" l="1"/>
  <c r="I163" i="4" s="1"/>
  <c r="I178" i="4"/>
  <c r="J139" i="4"/>
  <c r="I139" i="4" s="1"/>
  <c r="I140" i="4"/>
  <c r="G21" i="4"/>
  <c r="F90" i="4"/>
  <c r="E90" i="4" s="1"/>
  <c r="I153" i="4"/>
  <c r="J152" i="4"/>
  <c r="I152" i="4" s="1"/>
  <c r="E153" i="4"/>
  <c r="F152" i="4"/>
  <c r="E152" i="4" s="1"/>
  <c r="F139" i="4"/>
  <c r="E139" i="4" s="1"/>
  <c r="E140" i="4"/>
  <c r="J114" i="4"/>
  <c r="I114" i="4" s="1"/>
  <c r="I115" i="4"/>
  <c r="J182" i="4"/>
  <c r="I183" i="4"/>
  <c r="E171" i="4"/>
  <c r="G170" i="4"/>
  <c r="J174" i="4"/>
  <c r="I174" i="4" s="1"/>
  <c r="I175" i="4"/>
  <c r="K56" i="4"/>
  <c r="K55" i="4" s="1"/>
  <c r="I57" i="4"/>
  <c r="F175" i="4"/>
  <c r="E176" i="4"/>
  <c r="I18" i="4"/>
  <c r="J17" i="4"/>
  <c r="E97" i="4"/>
  <c r="E164" i="4"/>
  <c r="F163" i="4"/>
  <c r="G182" i="4"/>
  <c r="E183" i="4"/>
  <c r="J90" i="4"/>
  <c r="I90" i="4" s="1"/>
  <c r="I97" i="4"/>
  <c r="M183" i="4"/>
  <c r="M182" i="4" s="1"/>
  <c r="M181" i="4" s="1"/>
  <c r="M191" i="4" s="1"/>
  <c r="K16" i="4"/>
  <c r="I48" i="4"/>
  <c r="I28" i="4"/>
  <c r="J21" i="4"/>
  <c r="I21" i="4" s="1"/>
  <c r="I60" i="4"/>
  <c r="J56" i="4"/>
  <c r="I41" i="4"/>
  <c r="J37" i="4"/>
  <c r="I37" i="4" s="1"/>
  <c r="E115" i="4"/>
  <c r="F114" i="4"/>
  <c r="E114" i="4" s="1"/>
  <c r="E52" i="4"/>
  <c r="G51" i="4"/>
  <c r="E51" i="4" s="1"/>
  <c r="E57" i="4"/>
  <c r="F56" i="4"/>
  <c r="F17" i="4"/>
  <c r="E18" i="4"/>
  <c r="I188" i="4"/>
  <c r="J187" i="4"/>
  <c r="I187" i="4" s="1"/>
  <c r="F43" i="4"/>
  <c r="E43" i="4" s="1"/>
  <c r="E44" i="4"/>
  <c r="F21" i="4"/>
  <c r="E28" i="4"/>
  <c r="G55" i="4"/>
  <c r="K15" i="4" l="1"/>
  <c r="K191" i="4" s="1"/>
  <c r="E21" i="4"/>
  <c r="F16" i="4"/>
  <c r="E17" i="4"/>
  <c r="I56" i="4"/>
  <c r="J55" i="4"/>
  <c r="J181" i="4"/>
  <c r="I181" i="4" s="1"/>
  <c r="I182" i="4"/>
  <c r="F55" i="4"/>
  <c r="E56" i="4"/>
  <c r="G181" i="4"/>
  <c r="E181" i="4" s="1"/>
  <c r="E182" i="4"/>
  <c r="E175" i="4"/>
  <c r="F174" i="4"/>
  <c r="E174" i="4" s="1"/>
  <c r="I17" i="4"/>
  <c r="J16" i="4"/>
  <c r="I16" i="4" s="1"/>
  <c r="G163" i="4"/>
  <c r="E163" i="4" s="1"/>
  <c r="E170" i="4"/>
  <c r="G16" i="4"/>
  <c r="G15" i="4" s="1"/>
  <c r="G191" i="4" l="1"/>
  <c r="E55" i="4"/>
  <c r="F15" i="4"/>
  <c r="F191" i="4" s="1"/>
  <c r="I55" i="4"/>
  <c r="I15" i="4" s="1"/>
  <c r="J15" i="4"/>
  <c r="J191" i="4" s="1"/>
  <c r="I191" i="4" s="1"/>
  <c r="E16" i="4"/>
  <c r="E191" i="4" l="1"/>
  <c r="E15" i="4"/>
</calcChain>
</file>

<file path=xl/sharedStrings.xml><?xml version="1.0" encoding="utf-8"?>
<sst xmlns="http://schemas.openxmlformats.org/spreadsheetml/2006/main" count="571" uniqueCount="244">
  <si>
    <t xml:space="preserve">                                                                                                        Приложение 7</t>
  </si>
  <si>
    <t xml:space="preserve">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</si>
  <si>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Старооскольского городского округа</t>
  </si>
  <si>
    <t xml:space="preserve">Расходы </t>
  </si>
  <si>
    <t>по объектам жизнеобеспечения и социально-культурного назначения</t>
  </si>
  <si>
    <t>Бюджетная классификация</t>
  </si>
  <si>
    <t>Наименование отрасли и объекта</t>
  </si>
  <si>
    <t xml:space="preserve">2022 год  всего расходов  </t>
  </si>
  <si>
    <t>в том числе:</t>
  </si>
  <si>
    <t>раз- дел,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</si>
  <si>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</si>
  <si>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</si>
  <si>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</si>
  <si>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</si>
  <si>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средства Фондов</t>
  </si>
  <si>
    <t xml:space="preserve">  I.     МКУ "Управление капитального строительства"</t>
  </si>
  <si>
    <t>Строительство (реконструкция)</t>
  </si>
  <si>
    <t>0400</t>
  </si>
  <si>
    <t>Национальная экономика</t>
  </si>
  <si>
    <t>0409</t>
  </si>
  <si>
    <t>Дорожное хозяйство  (дорожные фонды)</t>
  </si>
  <si>
    <t>1330144100</t>
  </si>
  <si>
    <t>200</t>
  </si>
  <si>
    <t>Устройство светофорного объекта на пересечении магистрали 8-8 и ул. Ильи Хегая города Старый Оскол</t>
  </si>
  <si>
    <t>0500</t>
  </si>
  <si>
    <t>Жилищно-коммунальное хозяйство</t>
  </si>
  <si>
    <t>0502</t>
  </si>
  <si>
    <t>Коммунальное хозяйство</t>
  </si>
  <si>
    <t>1240144100</t>
  </si>
  <si>
    <t>400</t>
  </si>
  <si>
    <t>Электроснабжение, ПИР</t>
  </si>
  <si>
    <t>Газоснабжение</t>
  </si>
  <si>
    <t>12401S0530</t>
  </si>
  <si>
    <t>Строительство сетей водоснабжения и водоотведения для районов ИЖС</t>
  </si>
  <si>
    <t>1240170530</t>
  </si>
  <si>
    <t>Государственная экспертиза сметной документации, оформление исходно-разрешительной документации</t>
  </si>
  <si>
    <t>0503</t>
  </si>
  <si>
    <t>Благоустройство</t>
  </si>
  <si>
    <t>1710271450</t>
  </si>
  <si>
    <t xml:space="preserve">Установка детских  спортивных площадок </t>
  </si>
  <si>
    <t>1220ИS0306</t>
  </si>
  <si>
    <t>Устройство спортивной площадки в РИЗ "Пушкарские дачи" города Старый Оскол</t>
  </si>
  <si>
    <t>1220ИS0308</t>
  </si>
  <si>
    <t>Установка спортивной площадки в селе Котово Старооскольского городского округа</t>
  </si>
  <si>
    <t>1220ИS0309</t>
  </si>
  <si>
    <t>Установка детской и спортивной площадки в РИЗ "Научный центр-2" города Старый Оскол</t>
  </si>
  <si>
    <t>1220ИS0601</t>
  </si>
  <si>
    <t>Устройство уличного освещения на участке дороги по ул. Лихачева (около детского сада № 16 "Ивушка")</t>
  </si>
  <si>
    <t>1220ИS0602</t>
  </si>
  <si>
    <t>Устройство уличного освещения ул. Богатырская
с. Готовье</t>
  </si>
  <si>
    <t>1220ИS0603</t>
  </si>
  <si>
    <t>Устройство сетей уличного освещения внутри
мкр. Заречье</t>
  </si>
  <si>
    <t>1220644100</t>
  </si>
  <si>
    <t>Государственная экспертиза сметной документации</t>
  </si>
  <si>
    <t>0700</t>
  </si>
  <si>
    <t>Образование</t>
  </si>
  <si>
    <t>0701</t>
  </si>
  <si>
    <t>Дошкольное образование</t>
  </si>
  <si>
    <t>0210344100</t>
  </si>
  <si>
    <t>Строительство детского сада на 99 дошкольных
мест с начальной школой на 100 школьных мест
в РИЗ "Пушкарские дачи"</t>
  </si>
  <si>
    <t>МБОУ "ЦО "Академия детства", ул.Ровенская, 118</t>
  </si>
  <si>
    <t>0703</t>
  </si>
  <si>
    <t>Дополнительное образование детей</t>
  </si>
  <si>
    <t>0230444100</t>
  </si>
  <si>
    <t>Проектно-сметная документация</t>
  </si>
  <si>
    <t>0800</t>
  </si>
  <si>
    <t>Культура, кинематография</t>
  </si>
  <si>
    <t>0801</t>
  </si>
  <si>
    <t>Культура</t>
  </si>
  <si>
    <t>0430244100</t>
  </si>
  <si>
    <t>Строительство центра культурного развития  Федосеевской сельской территории, с.Федосеевка,                  ул. Н. Лихачевой, 50а</t>
  </si>
  <si>
    <t>1000</t>
  </si>
  <si>
    <t>Социальная политика</t>
  </si>
  <si>
    <t>1004</t>
  </si>
  <si>
    <t>Охрана семьи и детства</t>
  </si>
  <si>
    <t>0520470820</t>
  </si>
  <si>
    <t xml:space="preserve">Строительство жилых помещений детям-сиротам и детям, оставшимся без попечения родителей, лицам из их числа по договорам найма </t>
  </si>
  <si>
    <t>1100</t>
  </si>
  <si>
    <t>Физическая культура и спорт</t>
  </si>
  <si>
    <t>1102</t>
  </si>
  <si>
    <t>Массовый спорт</t>
  </si>
  <si>
    <t>072P55139F</t>
  </si>
  <si>
    <t>Строительство физкультурно-оздоровительного комплекса МАУ СШОР "Золотые перчатки" в
городе Старый Оскол</t>
  </si>
  <si>
    <t>072P551390</t>
  </si>
  <si>
    <t xml:space="preserve"> Капитальный ремонт и ремонт</t>
  </si>
  <si>
    <t>0406</t>
  </si>
  <si>
    <t>Водное хозяйство</t>
  </si>
  <si>
    <t>12401L0650</t>
  </si>
  <si>
    <t>Капитальный ремонт гидроузла пруда в балке Боронец у села Солдатское Старооскольского района Белгородской области</t>
  </si>
  <si>
    <t>1240124200</t>
  </si>
  <si>
    <t>13302S2140</t>
  </si>
  <si>
    <t>Капитальный ремонт и ремонт автомобильных дорог общего пользования населенных пунктов</t>
  </si>
  <si>
    <t>1330272140</t>
  </si>
  <si>
    <t>133R1R0001</t>
  </si>
  <si>
    <t>1330ИS020D</t>
  </si>
  <si>
    <t>Капитальный ремонт дворовой территории жилого дома №3а микрорайона Весенний города
Старый Оскол</t>
  </si>
  <si>
    <t>1330ИS020E</t>
  </si>
  <si>
    <t>Ремонт автомобильных дорог по улицам  Зеленая, Молодежная в селе Озерки Старооскольского городского округа</t>
  </si>
  <si>
    <t>1330ИS020G</t>
  </si>
  <si>
    <t>Капитальный ремонт дворовой территории жилого дома № 9 микрорайона Юбилейный города
Старый Оскол</t>
  </si>
  <si>
    <t>1330ИS020H</t>
  </si>
  <si>
    <t>Ремонт автомобильных дорог по улице Кладовая в селе Каплино Старооскольского городского округа</t>
  </si>
  <si>
    <t>1330ИS020I</t>
  </si>
  <si>
    <t>Ремонт автомобильной дороги по улице  Крайняя  в городе Старый Оскол</t>
  </si>
  <si>
    <t>1330ИS020J</t>
  </si>
  <si>
    <t>Ремонт автомобильной дороги по переулку Деревянова в городе Старый Оскол</t>
  </si>
  <si>
    <t>1330ИS020K</t>
  </si>
  <si>
    <t>Капитальный ремонт дворовой территории жилого дома № 15 микрорайона Макаренко города
Старый Оскол</t>
  </si>
  <si>
    <t>1330ИS020L</t>
  </si>
  <si>
    <t>Ремонт автомобильной дороги по 2-му переулку Тракторный в городе Старый Оскол</t>
  </si>
  <si>
    <t>1330ИS020M</t>
  </si>
  <si>
    <t>Капитальный ремонт дворовой территории жилых домов № 1, №1а, №3 переулка Стадионный города Старый Оскол</t>
  </si>
  <si>
    <t>1330ИS020N</t>
  </si>
  <si>
    <t>Капитальный ремонт дворовой территории жилого дома № 10 микрорайона Парковый города
Старый Оскол</t>
  </si>
  <si>
    <t>1330ИS020U</t>
  </si>
  <si>
    <t>Капитальный ремонт дворовой территории жилого дома № 22 микрорайона Парковый города
Старый Оскол</t>
  </si>
  <si>
    <t>1330ИS020P</t>
  </si>
  <si>
    <t>Капитальный ремонт дворовой территории жилого дома № 35 микрорайона Лебединец города
Старый Оскол</t>
  </si>
  <si>
    <t>1330ИS020Q</t>
  </si>
  <si>
    <t>Капитальный ремонт дворовой территории жилого дома № 6 микрорайона Приборостроитель города Старый Оскол</t>
  </si>
  <si>
    <t>1330ИS020R</t>
  </si>
  <si>
    <t>Капитальный ремонт дворовой территории жилого дома № 21 микрорайона Приборостроитель города Старый Оскол</t>
  </si>
  <si>
    <t>1330ИS020S</t>
  </si>
  <si>
    <t>Капитальный ремонт дворовой территории жилого дома № 19 микрорайона Приборостроитель города Старый Оскол</t>
  </si>
  <si>
    <t>1330ИS020T</t>
  </si>
  <si>
    <t>Ремонт автомобильной дороги по улице Ключевая в городе Старый Оскол</t>
  </si>
  <si>
    <t>1330ИS0301</t>
  </si>
  <si>
    <t>Капитальный ремонт дворовой территории жилых домов № 5, №6, № 7 микрорайона Рудничный города Старый Оскол</t>
  </si>
  <si>
    <t>1330ИS0302</t>
  </si>
  <si>
    <t>Ремонт автомобильной дороги между домами № 75А, № 61 проспект Комсомольский города Старый Оскол</t>
  </si>
  <si>
    <t>1330ИS0303</t>
  </si>
  <si>
    <t>Установка остановочных павильонов в РИЗ "Казацкий" города Старый Оскол</t>
  </si>
  <si>
    <t>1330ИS030А</t>
  </si>
  <si>
    <t>Капитальный ремонт дворовой территории жилых домов № 19, № 20, № 21 микрорайона Степной города Старый Оскол</t>
  </si>
  <si>
    <t>1330444300</t>
  </si>
  <si>
    <t>Капитальный 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</si>
  <si>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Капитальный  ремонт и ремонт дворовых территорий многоквартирных домов, проездов квартал "Старая Мельница"</t>
  </si>
  <si>
    <t>1330244300</t>
  </si>
  <si>
    <t>Государственная экспертиза сметной документации, проектно-сметная документация, диагностика</t>
  </si>
  <si>
    <t>0412</t>
  </si>
  <si>
    <t>Другие вопросы в области национальной экономики</t>
  </si>
  <si>
    <t>1410424200</t>
  </si>
  <si>
    <t>Административное здание, ул. Ленина, 45</t>
  </si>
  <si>
    <t>Административное здание, ул. Ленина, 46/17</t>
  </si>
  <si>
    <t>Капитальный ремонт сетей водоснабжения, водоотведения и ливневой канализации Старооскольского городского округа</t>
  </si>
  <si>
    <t>Капитальный ремонт сетей водоснабжения дворовых территорий многоквартирных жилых домов Старооскольского городского округа</t>
  </si>
  <si>
    <t xml:space="preserve">Капитальный ремонт сетей наружного освещения </t>
  </si>
  <si>
    <t>171F255550</t>
  </si>
  <si>
    <t>Благоустройство дворовых территорий многоквартирных жилых домов, общественных и иных территорий г. Старый Оскол</t>
  </si>
  <si>
    <t>171F2F0001</t>
  </si>
  <si>
    <t>1220ИS0304</t>
  </si>
  <si>
    <t>Устройство тротуаров в РИЗ "Научный центр-1" города Старый Оскол</t>
  </si>
  <si>
    <t>1220ИS0305</t>
  </si>
  <si>
    <t>Устройство тротуаров в РИЗ "Сосенки" города
Старый Оскол</t>
  </si>
  <si>
    <t>1220ИS0307</t>
  </si>
  <si>
    <t>Благоустройство общественной территории между жилыми домами № 11, № 12, № 12а в микрорайоне Королева города Старый Оскол</t>
  </si>
  <si>
    <t>1220ИS030В</t>
  </si>
  <si>
    <t>Благоустройство территории по улице Центральная в селе Долгая Поляна Старооскольского городского округа</t>
  </si>
  <si>
    <t>1220ИS030С</t>
  </si>
  <si>
    <t>Устройство тротуаров от улицы Демократическая до улицы Раздольная в селе Городище Старооскольского городского округа</t>
  </si>
  <si>
    <t>1220ИS030D</t>
  </si>
  <si>
    <t>Благоустройство территории в районе дома № 10А по улице Центральная в селе Архангельское Старооскольский городской округ</t>
  </si>
  <si>
    <t>1220ИS030E</t>
  </si>
  <si>
    <t>Устройство сетей наружного освещения в РИЗ "Сосенки" города Старый Оскол</t>
  </si>
  <si>
    <t>1220ИS030F</t>
  </si>
  <si>
    <t>Благоустройство территории по улице Школьная в селе Монаково Старооскольский городской округ</t>
  </si>
  <si>
    <t>1220624200</t>
  </si>
  <si>
    <t>Капитальный ремонт набережных реки Осколец и Гуменского водохранилища в городе Старый Оскол Белгородской области</t>
  </si>
  <si>
    <t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</t>
  </si>
  <si>
    <t>Капитальный ремонт парка "Солнечный" (обустройство ледового поля)</t>
  </si>
  <si>
    <t>Капитальный ремонт подпорной стены квартал "Старая мельница"</t>
  </si>
  <si>
    <t>9990021500</t>
  </si>
  <si>
    <t>02103S2120</t>
  </si>
  <si>
    <t>МБДОУ "Детский сад № 32 "Дружные ребята",                  мкр. Жукова, 54</t>
  </si>
  <si>
    <t>0210372120</t>
  </si>
  <si>
    <t>0210324200</t>
  </si>
  <si>
    <t>МБДОУ "Детский сад № 16 "Ивушка", ул. Ватутина, 90</t>
  </si>
  <si>
    <t>МБДОУ "Детский сад № 40 "Золотая рыбка",
мкр. Олимпийский, д.27</t>
  </si>
  <si>
    <t>МБДОУ "Детский сад № 45 "Росинка",
мкр. Олимпийский, 26</t>
  </si>
  <si>
    <t>МБДОУ "Детский сад № 66 "Журавушка", мкр. Углы, 21</t>
  </si>
  <si>
    <t xml:space="preserve"> МБДОУ ДС №7 "Лесная Поляна", ул Титова, д.8</t>
  </si>
  <si>
    <t>0702</t>
  </si>
  <si>
    <t>Общее образование</t>
  </si>
  <si>
    <t>0220324200</t>
  </si>
  <si>
    <t>МБОУ "Средняя общеобразовательная школа № 6",         мкр. Жукова, 36</t>
  </si>
  <si>
    <t>02203S2120</t>
  </si>
  <si>
    <t>0220372120</t>
  </si>
  <si>
    <t>МБОУ "Средняя общеобразовательная школа
№12 с углубленным изучением отдельных предметов", м-н Лебединец, 28</t>
  </si>
  <si>
    <t>МАОУ "Образовательный комплекс "Лицей № 3" имени С.П. Угаровой", мкр. Интернациональный, 1</t>
  </si>
  <si>
    <t>022Е250970</t>
  </si>
  <si>
    <t>Капитальный ремонт спортивного зала
МБОУ "Средняя общеобразовательная
Роговатовская школа с УИОП"  с. Роговатое Старооскольского городского округа</t>
  </si>
  <si>
    <t>Капитальный ремонт 
МБОУ "Средняя общеобразовательная
Роговатовская школа с УИОП"  с. Роговатое Старооскольского городского округа</t>
  </si>
  <si>
    <t>МБОУ "ОК"Озерки" имени М.И. Бесхмельницына", село Озерки, ул. Московская, д.2</t>
  </si>
  <si>
    <t>Капитальный ремонт образовательных учреждений (установка ограждений)</t>
  </si>
  <si>
    <t>0230424200</t>
  </si>
  <si>
    <t>0410224200</t>
  </si>
  <si>
    <t>0430224200</t>
  </si>
  <si>
    <t>Здание, мкр. Жукова, 38 (МАУК ДК «Комсомолец»)</t>
  </si>
  <si>
    <t>0804</t>
  </si>
  <si>
    <t xml:space="preserve">Другие вопросы в области культуры, кинематографии </t>
  </si>
  <si>
    <t>0440124200</t>
  </si>
  <si>
    <t>Объект культурного наследия  МБУ ДО "ДМШ №3", ул. Ленина, 39 (здание ул.Ленина, 41)</t>
  </si>
  <si>
    <t>04401S2220</t>
  </si>
  <si>
    <t>0440172220</t>
  </si>
  <si>
    <t xml:space="preserve">Консервация объектов культурного наследия </t>
  </si>
  <si>
    <t>0720224200</t>
  </si>
  <si>
    <t>МБУ  "СЦТ "Штурм",  микрорайон Макаренко д.36а</t>
  </si>
  <si>
    <t>07202S2120</t>
  </si>
  <si>
    <t>0720272120</t>
  </si>
  <si>
    <t>МБУ "СШОР № 2", ул. Стадионная, 13                        (МУК ГДК "Железнодорожник", ул. Стадионная, 14а)</t>
  </si>
  <si>
    <t>0720ИS020F</t>
  </si>
  <si>
    <t>Капитальный ремонт МБУ "Спортивная школа "Спартак", г. Старый Оскол, микрорайон Горняк, д.22а</t>
  </si>
  <si>
    <t>Капитальный ремонт МАУ "СШОР им. А. Невского",  пр-кт  Молодежный, д. 14 (помещение
мкр. Олимпийский, 49а)</t>
  </si>
  <si>
    <t>Капитальный ремонт МАУ СШОР "Золотые перчатки" зал бокса, мкр. Королева, д.16 (МБОУ "СОШ №34")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</si>
  <si>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</si>
  <si>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</si>
  <si>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</si>
  <si>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</si>
  <si>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жилых помещений, находящихся в муниципальной собственности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</si>
  <si>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</si>
  <si>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</si>
  <si>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1220425900</t>
  </si>
  <si>
    <t>Организация мест захоронения (новое кладбище),                     с. Каплино Старооскольского городского округа</t>
  </si>
  <si>
    <t>0631924200</t>
  </si>
  <si>
    <t>0632471520</t>
  </si>
  <si>
    <t>Капитальный ремонт помещений, закрепленных за детьми-сиротами и детьми, оставшимися без попечения родителей</t>
  </si>
  <si>
    <t xml:space="preserve">  III.  Департамент имущественных и земельных отношений администрации Старооскольского городского округа</t>
  </si>
  <si>
    <t>0521122200</t>
  </si>
  <si>
    <t>Обеспечение жилыми помещениями врачей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</si>
  <si>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</si>
  <si>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IV.  Администрация Старооскольского городского округа</t>
  </si>
  <si>
    <t>1240409505</t>
  </si>
  <si>
    <t>Реконструкция очистных сооружений канализации Старооскольского городского округа</t>
  </si>
  <si>
    <t>12404S0530</t>
  </si>
  <si>
    <t>Строительство и модернизация объектов водоснабжения и водоотведения Старооскольского городского округа</t>
  </si>
  <si>
    <t>1240470530</t>
  </si>
  <si>
    <t>V. МКУ "Центр по благоустройству сельских территорий"</t>
  </si>
  <si>
    <t>10306L5760</t>
  </si>
  <si>
    <t>Создание и обустройство детской площадки в селе Песчанка</t>
  </si>
  <si>
    <t>Всего</t>
  </si>
  <si>
    <t>Государственная экспертиза сметной документации, оформление исходно-разрешительной документации, ПИР</t>
  </si>
  <si>
    <t>тыс.рублей</t>
  </si>
  <si>
    <t xml:space="preserve">на капитальные вложения и проведение капитальных ремонтов </t>
  </si>
  <si>
    <t>Старооскольского городского округа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</si>
</sst>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7" fillId="0" borderId="0"/>
    <xf numFmtId="0" fontId="18" fillId="0" borderId="0"/>
  </cellStyleXfs>
  <cellXfs count="111">
    <xf numFmtId="0" fontId="0" fillId="0" borderId="0" xfId="0"/>
    <xf numFmtId="0" fontId="4" fillId="0" borderId="0" xfId="1" applyFont="1" applyFill="1"/>
    <xf numFmtId="0" fontId="5" fillId="0" borderId="0" xfId="1" applyFont="1" applyFill="1" applyAlignment="1"/>
    <xf numFmtId="0" fontId="3" fillId="0" borderId="0" xfId="1" applyFill="1"/>
    <xf numFmtId="0" fontId="5" fillId="0" borderId="0" xfId="1" applyFont="1" applyFill="1" applyAlignment="1">
      <alignment vertical="center"/>
    </xf>
    <xf numFmtId="0" fontId="2" fillId="0" borderId="0" xfId="1" applyFont="1" applyFill="1"/>
    <xf numFmtId="0" fontId="6" fillId="0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12" fillId="0" borderId="0" xfId="1" applyFont="1" applyFill="1"/>
    <xf numFmtId="0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0" fontId="13" fillId="0" borderId="0" xfId="1" applyFont="1" applyFill="1"/>
    <xf numFmtId="0" fontId="5" fillId="0" borderId="1" xfId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/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164" fontId="3" fillId="0" borderId="0" xfId="1" applyNumberFormat="1" applyFill="1"/>
    <xf numFmtId="0" fontId="5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/>
    <xf numFmtId="164" fontId="16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/>
    <xf numFmtId="164" fontId="5" fillId="0" borderId="4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/>
    <xf numFmtId="49" fontId="5" fillId="0" borderId="5" xfId="1" applyNumberFormat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wrapText="1"/>
    </xf>
    <xf numFmtId="0" fontId="6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8" xfId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5" fillId="0" borderId="7" xfId="2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horizontal="left" vertical="center" wrapText="1"/>
    </xf>
    <xf numFmtId="49" fontId="5" fillId="0" borderId="5" xfId="2" applyNumberFormat="1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49" fontId="5" fillId="0" borderId="7" xfId="2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0" fontId="5" fillId="0" borderId="5" xfId="1" applyNumberFormat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49" fontId="6" fillId="0" borderId="3" xfId="1" applyNumberFormat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H194"/>
  <sheetViews>
    <sheetView tabSelected="1" view="pageBreakPreview" zoomScale="80" zoomScaleNormal="90" zoomScaleSheetLayoutView="80" workbookViewId="0">
      <selection activeCell="F19" sqref="F19"/>
    </sheetView>
  </sheetViews>
  <sheetFormatPr defaultRowHeight="15.75" x14ac:dyDescent="0.25"/>
  <cols>
    <col min="1" max="1" width="8.85546875" style="1" customWidth="1"/>
    <col min="2" max="2" width="15.85546875" style="1" customWidth="1"/>
    <col min="3" max="3" width="8.28515625" style="1" customWidth="1"/>
    <col min="4" max="4" width="64" style="55" customWidth="1"/>
    <col min="5" max="6" width="16.7109375" style="56" customWidth="1"/>
    <col min="7" max="7" width="15.85546875" style="56" customWidth="1"/>
    <col min="8" max="8" width="14.140625" style="56" customWidth="1"/>
    <col min="9" max="9" width="13.28515625" style="56" hidden="1" customWidth="1"/>
    <col min="10" max="10" width="14.140625" style="56" hidden="1" customWidth="1"/>
    <col min="11" max="11" width="13.5703125" style="56" hidden="1" customWidth="1"/>
    <col min="12" max="13" width="12.28515625" style="56" hidden="1" customWidth="1"/>
    <col min="14" max="14" width="9.140625" style="3"/>
    <col min="15" max="15" width="11.140625" style="3" bestFit="1" customWidth="1"/>
    <col min="16" max="253" width="9.140625" style="3"/>
    <col min="254" max="254" width="6.85546875" style="3" customWidth="1"/>
    <col min="255" max="255" width="14.7109375" style="3" customWidth="1"/>
    <col min="256" max="256" width="5.28515625" style="3" customWidth="1"/>
    <col min="257" max="257" width="59" style="3" customWidth="1"/>
    <col min="258" max="258" width="13.28515625" style="3" customWidth="1"/>
    <col min="259" max="259" width="14.140625" style="3" customWidth="1"/>
    <col min="260" max="260" width="13.5703125" style="3" customWidth="1"/>
    <col min="261" max="265" width="0" style="3" hidden="1" customWidth="1"/>
    <col min="266" max="266" width="13.28515625" style="3" customWidth="1"/>
    <col min="267" max="267" width="14.140625" style="3" customWidth="1"/>
    <col min="268" max="268" width="13.5703125" style="3" customWidth="1"/>
    <col min="269" max="269" width="0" style="3" hidden="1" customWidth="1"/>
    <col min="270" max="270" width="9.140625" style="3"/>
    <col min="271" max="271" width="11.140625" style="3" bestFit="1" customWidth="1"/>
    <col min="272" max="509" width="9.140625" style="3"/>
    <col min="510" max="510" width="6.85546875" style="3" customWidth="1"/>
    <col min="511" max="511" width="14.7109375" style="3" customWidth="1"/>
    <col min="512" max="512" width="5.28515625" style="3" customWidth="1"/>
    <col min="513" max="513" width="59" style="3" customWidth="1"/>
    <col min="514" max="514" width="13.28515625" style="3" customWidth="1"/>
    <col min="515" max="515" width="14.140625" style="3" customWidth="1"/>
    <col min="516" max="516" width="13.5703125" style="3" customWidth="1"/>
    <col min="517" max="521" width="0" style="3" hidden="1" customWidth="1"/>
    <col min="522" max="522" width="13.28515625" style="3" customWidth="1"/>
    <col min="523" max="523" width="14.140625" style="3" customWidth="1"/>
    <col min="524" max="524" width="13.5703125" style="3" customWidth="1"/>
    <col min="525" max="525" width="0" style="3" hidden="1" customWidth="1"/>
    <col min="526" max="526" width="9.140625" style="3"/>
    <col min="527" max="527" width="11.140625" style="3" bestFit="1" customWidth="1"/>
    <col min="528" max="765" width="9.140625" style="3"/>
    <col min="766" max="766" width="6.85546875" style="3" customWidth="1"/>
    <col min="767" max="767" width="14.7109375" style="3" customWidth="1"/>
    <col min="768" max="768" width="5.28515625" style="3" customWidth="1"/>
    <col min="769" max="769" width="59" style="3" customWidth="1"/>
    <col min="770" max="770" width="13.28515625" style="3" customWidth="1"/>
    <col min="771" max="771" width="14.140625" style="3" customWidth="1"/>
    <col min="772" max="772" width="13.5703125" style="3" customWidth="1"/>
    <col min="773" max="777" width="0" style="3" hidden="1" customWidth="1"/>
    <col min="778" max="778" width="13.28515625" style="3" customWidth="1"/>
    <col min="779" max="779" width="14.140625" style="3" customWidth="1"/>
    <col min="780" max="780" width="13.5703125" style="3" customWidth="1"/>
    <col min="781" max="781" width="0" style="3" hidden="1" customWidth="1"/>
    <col min="782" max="782" width="9.140625" style="3"/>
    <col min="783" max="783" width="11.140625" style="3" bestFit="1" customWidth="1"/>
    <col min="784" max="1021" width="9.140625" style="3"/>
    <col min="1022" max="1022" width="6.85546875" style="3" customWidth="1"/>
    <col min="1023" max="1023" width="14.7109375" style="3" customWidth="1"/>
    <col min="1024" max="1024" width="5.28515625" style="3" customWidth="1"/>
    <col min="1025" max="1025" width="59" style="3" customWidth="1"/>
    <col min="1026" max="1026" width="13.28515625" style="3" customWidth="1"/>
    <col min="1027" max="1027" width="14.140625" style="3" customWidth="1"/>
    <col min="1028" max="1028" width="13.5703125" style="3" customWidth="1"/>
    <col min="1029" max="1033" width="0" style="3" hidden="1" customWidth="1"/>
    <col min="1034" max="1034" width="13.28515625" style="3" customWidth="1"/>
    <col min="1035" max="1035" width="14.140625" style="3" customWidth="1"/>
    <col min="1036" max="1036" width="13.5703125" style="3" customWidth="1"/>
    <col min="1037" max="1037" width="0" style="3" hidden="1" customWidth="1"/>
    <col min="1038" max="1038" width="9.140625" style="3"/>
    <col min="1039" max="1039" width="11.140625" style="3" bestFit="1" customWidth="1"/>
    <col min="1040" max="1277" width="9.140625" style="3"/>
    <col min="1278" max="1278" width="6.85546875" style="3" customWidth="1"/>
    <col min="1279" max="1279" width="14.7109375" style="3" customWidth="1"/>
    <col min="1280" max="1280" width="5.28515625" style="3" customWidth="1"/>
    <col min="1281" max="1281" width="59" style="3" customWidth="1"/>
    <col min="1282" max="1282" width="13.28515625" style="3" customWidth="1"/>
    <col min="1283" max="1283" width="14.140625" style="3" customWidth="1"/>
    <col min="1284" max="1284" width="13.5703125" style="3" customWidth="1"/>
    <col min="1285" max="1289" width="0" style="3" hidden="1" customWidth="1"/>
    <col min="1290" max="1290" width="13.28515625" style="3" customWidth="1"/>
    <col min="1291" max="1291" width="14.140625" style="3" customWidth="1"/>
    <col min="1292" max="1292" width="13.5703125" style="3" customWidth="1"/>
    <col min="1293" max="1293" width="0" style="3" hidden="1" customWidth="1"/>
    <col min="1294" max="1294" width="9.140625" style="3"/>
    <col min="1295" max="1295" width="11.140625" style="3" bestFit="1" customWidth="1"/>
    <col min="1296" max="1533" width="9.140625" style="3"/>
    <col min="1534" max="1534" width="6.85546875" style="3" customWidth="1"/>
    <col min="1535" max="1535" width="14.7109375" style="3" customWidth="1"/>
    <col min="1536" max="1536" width="5.28515625" style="3" customWidth="1"/>
    <col min="1537" max="1537" width="59" style="3" customWidth="1"/>
    <col min="1538" max="1538" width="13.28515625" style="3" customWidth="1"/>
    <col min="1539" max="1539" width="14.140625" style="3" customWidth="1"/>
    <col min="1540" max="1540" width="13.5703125" style="3" customWidth="1"/>
    <col min="1541" max="1545" width="0" style="3" hidden="1" customWidth="1"/>
    <col min="1546" max="1546" width="13.28515625" style="3" customWidth="1"/>
    <col min="1547" max="1547" width="14.140625" style="3" customWidth="1"/>
    <col min="1548" max="1548" width="13.5703125" style="3" customWidth="1"/>
    <col min="1549" max="1549" width="0" style="3" hidden="1" customWidth="1"/>
    <col min="1550" max="1550" width="9.140625" style="3"/>
    <col min="1551" max="1551" width="11.140625" style="3" bestFit="1" customWidth="1"/>
    <col min="1552" max="1789" width="9.140625" style="3"/>
    <col min="1790" max="1790" width="6.85546875" style="3" customWidth="1"/>
    <col min="1791" max="1791" width="14.7109375" style="3" customWidth="1"/>
    <col min="1792" max="1792" width="5.28515625" style="3" customWidth="1"/>
    <col min="1793" max="1793" width="59" style="3" customWidth="1"/>
    <col min="1794" max="1794" width="13.28515625" style="3" customWidth="1"/>
    <col min="1795" max="1795" width="14.140625" style="3" customWidth="1"/>
    <col min="1796" max="1796" width="13.5703125" style="3" customWidth="1"/>
    <col min="1797" max="1801" width="0" style="3" hidden="1" customWidth="1"/>
    <col min="1802" max="1802" width="13.28515625" style="3" customWidth="1"/>
    <col min="1803" max="1803" width="14.140625" style="3" customWidth="1"/>
    <col min="1804" max="1804" width="13.5703125" style="3" customWidth="1"/>
    <col min="1805" max="1805" width="0" style="3" hidden="1" customWidth="1"/>
    <col min="1806" max="1806" width="9.140625" style="3"/>
    <col min="1807" max="1807" width="11.140625" style="3" bestFit="1" customWidth="1"/>
    <col min="1808" max="2045" width="9.140625" style="3"/>
    <col min="2046" max="2046" width="6.85546875" style="3" customWidth="1"/>
    <col min="2047" max="2047" width="14.7109375" style="3" customWidth="1"/>
    <col min="2048" max="2048" width="5.28515625" style="3" customWidth="1"/>
    <col min="2049" max="2049" width="59" style="3" customWidth="1"/>
    <col min="2050" max="2050" width="13.28515625" style="3" customWidth="1"/>
    <col min="2051" max="2051" width="14.140625" style="3" customWidth="1"/>
    <col min="2052" max="2052" width="13.5703125" style="3" customWidth="1"/>
    <col min="2053" max="2057" width="0" style="3" hidden="1" customWidth="1"/>
    <col min="2058" max="2058" width="13.28515625" style="3" customWidth="1"/>
    <col min="2059" max="2059" width="14.140625" style="3" customWidth="1"/>
    <col min="2060" max="2060" width="13.5703125" style="3" customWidth="1"/>
    <col min="2061" max="2061" width="0" style="3" hidden="1" customWidth="1"/>
    <col min="2062" max="2062" width="9.140625" style="3"/>
    <col min="2063" max="2063" width="11.140625" style="3" bestFit="1" customWidth="1"/>
    <col min="2064" max="2301" width="9.140625" style="3"/>
    <col min="2302" max="2302" width="6.85546875" style="3" customWidth="1"/>
    <col min="2303" max="2303" width="14.7109375" style="3" customWidth="1"/>
    <col min="2304" max="2304" width="5.28515625" style="3" customWidth="1"/>
    <col min="2305" max="2305" width="59" style="3" customWidth="1"/>
    <col min="2306" max="2306" width="13.28515625" style="3" customWidth="1"/>
    <col min="2307" max="2307" width="14.140625" style="3" customWidth="1"/>
    <col min="2308" max="2308" width="13.5703125" style="3" customWidth="1"/>
    <col min="2309" max="2313" width="0" style="3" hidden="1" customWidth="1"/>
    <col min="2314" max="2314" width="13.28515625" style="3" customWidth="1"/>
    <col min="2315" max="2315" width="14.140625" style="3" customWidth="1"/>
    <col min="2316" max="2316" width="13.5703125" style="3" customWidth="1"/>
    <col min="2317" max="2317" width="0" style="3" hidden="1" customWidth="1"/>
    <col min="2318" max="2318" width="9.140625" style="3"/>
    <col min="2319" max="2319" width="11.140625" style="3" bestFit="1" customWidth="1"/>
    <col min="2320" max="2557" width="9.140625" style="3"/>
    <col min="2558" max="2558" width="6.85546875" style="3" customWidth="1"/>
    <col min="2559" max="2559" width="14.7109375" style="3" customWidth="1"/>
    <col min="2560" max="2560" width="5.28515625" style="3" customWidth="1"/>
    <col min="2561" max="2561" width="59" style="3" customWidth="1"/>
    <col min="2562" max="2562" width="13.28515625" style="3" customWidth="1"/>
    <col min="2563" max="2563" width="14.140625" style="3" customWidth="1"/>
    <col min="2564" max="2564" width="13.5703125" style="3" customWidth="1"/>
    <col min="2565" max="2569" width="0" style="3" hidden="1" customWidth="1"/>
    <col min="2570" max="2570" width="13.28515625" style="3" customWidth="1"/>
    <col min="2571" max="2571" width="14.140625" style="3" customWidth="1"/>
    <col min="2572" max="2572" width="13.5703125" style="3" customWidth="1"/>
    <col min="2573" max="2573" width="0" style="3" hidden="1" customWidth="1"/>
    <col min="2574" max="2574" width="9.140625" style="3"/>
    <col min="2575" max="2575" width="11.140625" style="3" bestFit="1" customWidth="1"/>
    <col min="2576" max="2813" width="9.140625" style="3"/>
    <col min="2814" max="2814" width="6.85546875" style="3" customWidth="1"/>
    <col min="2815" max="2815" width="14.7109375" style="3" customWidth="1"/>
    <col min="2816" max="2816" width="5.28515625" style="3" customWidth="1"/>
    <col min="2817" max="2817" width="59" style="3" customWidth="1"/>
    <col min="2818" max="2818" width="13.28515625" style="3" customWidth="1"/>
    <col min="2819" max="2819" width="14.140625" style="3" customWidth="1"/>
    <col min="2820" max="2820" width="13.5703125" style="3" customWidth="1"/>
    <col min="2821" max="2825" width="0" style="3" hidden="1" customWidth="1"/>
    <col min="2826" max="2826" width="13.28515625" style="3" customWidth="1"/>
    <col min="2827" max="2827" width="14.140625" style="3" customWidth="1"/>
    <col min="2828" max="2828" width="13.5703125" style="3" customWidth="1"/>
    <col min="2829" max="2829" width="0" style="3" hidden="1" customWidth="1"/>
    <col min="2830" max="2830" width="9.140625" style="3"/>
    <col min="2831" max="2831" width="11.140625" style="3" bestFit="1" customWidth="1"/>
    <col min="2832" max="3069" width="9.140625" style="3"/>
    <col min="3070" max="3070" width="6.85546875" style="3" customWidth="1"/>
    <col min="3071" max="3071" width="14.7109375" style="3" customWidth="1"/>
    <col min="3072" max="3072" width="5.28515625" style="3" customWidth="1"/>
    <col min="3073" max="3073" width="59" style="3" customWidth="1"/>
    <col min="3074" max="3074" width="13.28515625" style="3" customWidth="1"/>
    <col min="3075" max="3075" width="14.140625" style="3" customWidth="1"/>
    <col min="3076" max="3076" width="13.5703125" style="3" customWidth="1"/>
    <col min="3077" max="3081" width="0" style="3" hidden="1" customWidth="1"/>
    <col min="3082" max="3082" width="13.28515625" style="3" customWidth="1"/>
    <col min="3083" max="3083" width="14.140625" style="3" customWidth="1"/>
    <col min="3084" max="3084" width="13.5703125" style="3" customWidth="1"/>
    <col min="3085" max="3085" width="0" style="3" hidden="1" customWidth="1"/>
    <col min="3086" max="3086" width="9.140625" style="3"/>
    <col min="3087" max="3087" width="11.140625" style="3" bestFit="1" customWidth="1"/>
    <col min="3088" max="3325" width="9.140625" style="3"/>
    <col min="3326" max="3326" width="6.85546875" style="3" customWidth="1"/>
    <col min="3327" max="3327" width="14.7109375" style="3" customWidth="1"/>
    <col min="3328" max="3328" width="5.28515625" style="3" customWidth="1"/>
    <col min="3329" max="3329" width="59" style="3" customWidth="1"/>
    <col min="3330" max="3330" width="13.28515625" style="3" customWidth="1"/>
    <col min="3331" max="3331" width="14.140625" style="3" customWidth="1"/>
    <col min="3332" max="3332" width="13.5703125" style="3" customWidth="1"/>
    <col min="3333" max="3337" width="0" style="3" hidden="1" customWidth="1"/>
    <col min="3338" max="3338" width="13.28515625" style="3" customWidth="1"/>
    <col min="3339" max="3339" width="14.140625" style="3" customWidth="1"/>
    <col min="3340" max="3340" width="13.5703125" style="3" customWidth="1"/>
    <col min="3341" max="3341" width="0" style="3" hidden="1" customWidth="1"/>
    <col min="3342" max="3342" width="9.140625" style="3"/>
    <col min="3343" max="3343" width="11.140625" style="3" bestFit="1" customWidth="1"/>
    <col min="3344" max="3581" width="9.140625" style="3"/>
    <col min="3582" max="3582" width="6.85546875" style="3" customWidth="1"/>
    <col min="3583" max="3583" width="14.7109375" style="3" customWidth="1"/>
    <col min="3584" max="3584" width="5.28515625" style="3" customWidth="1"/>
    <col min="3585" max="3585" width="59" style="3" customWidth="1"/>
    <col min="3586" max="3586" width="13.28515625" style="3" customWidth="1"/>
    <col min="3587" max="3587" width="14.140625" style="3" customWidth="1"/>
    <col min="3588" max="3588" width="13.5703125" style="3" customWidth="1"/>
    <col min="3589" max="3593" width="0" style="3" hidden="1" customWidth="1"/>
    <col min="3594" max="3594" width="13.28515625" style="3" customWidth="1"/>
    <col min="3595" max="3595" width="14.140625" style="3" customWidth="1"/>
    <col min="3596" max="3596" width="13.5703125" style="3" customWidth="1"/>
    <col min="3597" max="3597" width="0" style="3" hidden="1" customWidth="1"/>
    <col min="3598" max="3598" width="9.140625" style="3"/>
    <col min="3599" max="3599" width="11.140625" style="3" bestFit="1" customWidth="1"/>
    <col min="3600" max="3837" width="9.140625" style="3"/>
    <col min="3838" max="3838" width="6.85546875" style="3" customWidth="1"/>
    <col min="3839" max="3839" width="14.7109375" style="3" customWidth="1"/>
    <col min="3840" max="3840" width="5.28515625" style="3" customWidth="1"/>
    <col min="3841" max="3841" width="59" style="3" customWidth="1"/>
    <col min="3842" max="3842" width="13.28515625" style="3" customWidth="1"/>
    <col min="3843" max="3843" width="14.140625" style="3" customWidth="1"/>
    <col min="3844" max="3844" width="13.5703125" style="3" customWidth="1"/>
    <col min="3845" max="3849" width="0" style="3" hidden="1" customWidth="1"/>
    <col min="3850" max="3850" width="13.28515625" style="3" customWidth="1"/>
    <col min="3851" max="3851" width="14.140625" style="3" customWidth="1"/>
    <col min="3852" max="3852" width="13.5703125" style="3" customWidth="1"/>
    <col min="3853" max="3853" width="0" style="3" hidden="1" customWidth="1"/>
    <col min="3854" max="3854" width="9.140625" style="3"/>
    <col min="3855" max="3855" width="11.140625" style="3" bestFit="1" customWidth="1"/>
    <col min="3856" max="4093" width="9.140625" style="3"/>
    <col min="4094" max="4094" width="6.85546875" style="3" customWidth="1"/>
    <col min="4095" max="4095" width="14.7109375" style="3" customWidth="1"/>
    <col min="4096" max="4096" width="5.28515625" style="3" customWidth="1"/>
    <col min="4097" max="4097" width="59" style="3" customWidth="1"/>
    <col min="4098" max="4098" width="13.28515625" style="3" customWidth="1"/>
    <col min="4099" max="4099" width="14.140625" style="3" customWidth="1"/>
    <col min="4100" max="4100" width="13.5703125" style="3" customWidth="1"/>
    <col min="4101" max="4105" width="0" style="3" hidden="1" customWidth="1"/>
    <col min="4106" max="4106" width="13.28515625" style="3" customWidth="1"/>
    <col min="4107" max="4107" width="14.140625" style="3" customWidth="1"/>
    <col min="4108" max="4108" width="13.5703125" style="3" customWidth="1"/>
    <col min="4109" max="4109" width="0" style="3" hidden="1" customWidth="1"/>
    <col min="4110" max="4110" width="9.140625" style="3"/>
    <col min="4111" max="4111" width="11.140625" style="3" bestFit="1" customWidth="1"/>
    <col min="4112" max="4349" width="9.140625" style="3"/>
    <col min="4350" max="4350" width="6.85546875" style="3" customWidth="1"/>
    <col min="4351" max="4351" width="14.7109375" style="3" customWidth="1"/>
    <col min="4352" max="4352" width="5.28515625" style="3" customWidth="1"/>
    <col min="4353" max="4353" width="59" style="3" customWidth="1"/>
    <col min="4354" max="4354" width="13.28515625" style="3" customWidth="1"/>
    <col min="4355" max="4355" width="14.140625" style="3" customWidth="1"/>
    <col min="4356" max="4356" width="13.5703125" style="3" customWidth="1"/>
    <col min="4357" max="4361" width="0" style="3" hidden="1" customWidth="1"/>
    <col min="4362" max="4362" width="13.28515625" style="3" customWidth="1"/>
    <col min="4363" max="4363" width="14.140625" style="3" customWidth="1"/>
    <col min="4364" max="4364" width="13.5703125" style="3" customWidth="1"/>
    <col min="4365" max="4365" width="0" style="3" hidden="1" customWidth="1"/>
    <col min="4366" max="4366" width="9.140625" style="3"/>
    <col min="4367" max="4367" width="11.140625" style="3" bestFit="1" customWidth="1"/>
    <col min="4368" max="4605" width="9.140625" style="3"/>
    <col min="4606" max="4606" width="6.85546875" style="3" customWidth="1"/>
    <col min="4607" max="4607" width="14.7109375" style="3" customWidth="1"/>
    <col min="4608" max="4608" width="5.28515625" style="3" customWidth="1"/>
    <col min="4609" max="4609" width="59" style="3" customWidth="1"/>
    <col min="4610" max="4610" width="13.28515625" style="3" customWidth="1"/>
    <col min="4611" max="4611" width="14.140625" style="3" customWidth="1"/>
    <col min="4612" max="4612" width="13.5703125" style="3" customWidth="1"/>
    <col min="4613" max="4617" width="0" style="3" hidden="1" customWidth="1"/>
    <col min="4618" max="4618" width="13.28515625" style="3" customWidth="1"/>
    <col min="4619" max="4619" width="14.140625" style="3" customWidth="1"/>
    <col min="4620" max="4620" width="13.5703125" style="3" customWidth="1"/>
    <col min="4621" max="4621" width="0" style="3" hidden="1" customWidth="1"/>
    <col min="4622" max="4622" width="9.140625" style="3"/>
    <col min="4623" max="4623" width="11.140625" style="3" bestFit="1" customWidth="1"/>
    <col min="4624" max="4861" width="9.140625" style="3"/>
    <col min="4862" max="4862" width="6.85546875" style="3" customWidth="1"/>
    <col min="4863" max="4863" width="14.7109375" style="3" customWidth="1"/>
    <col min="4864" max="4864" width="5.28515625" style="3" customWidth="1"/>
    <col min="4865" max="4865" width="59" style="3" customWidth="1"/>
    <col min="4866" max="4866" width="13.28515625" style="3" customWidth="1"/>
    <col min="4867" max="4867" width="14.140625" style="3" customWidth="1"/>
    <col min="4868" max="4868" width="13.5703125" style="3" customWidth="1"/>
    <col min="4869" max="4873" width="0" style="3" hidden="1" customWidth="1"/>
    <col min="4874" max="4874" width="13.28515625" style="3" customWidth="1"/>
    <col min="4875" max="4875" width="14.140625" style="3" customWidth="1"/>
    <col min="4876" max="4876" width="13.5703125" style="3" customWidth="1"/>
    <col min="4877" max="4877" width="0" style="3" hidden="1" customWidth="1"/>
    <col min="4878" max="4878" width="9.140625" style="3"/>
    <col min="4879" max="4879" width="11.140625" style="3" bestFit="1" customWidth="1"/>
    <col min="4880" max="5117" width="9.140625" style="3"/>
    <col min="5118" max="5118" width="6.85546875" style="3" customWidth="1"/>
    <col min="5119" max="5119" width="14.7109375" style="3" customWidth="1"/>
    <col min="5120" max="5120" width="5.28515625" style="3" customWidth="1"/>
    <col min="5121" max="5121" width="59" style="3" customWidth="1"/>
    <col min="5122" max="5122" width="13.28515625" style="3" customWidth="1"/>
    <col min="5123" max="5123" width="14.140625" style="3" customWidth="1"/>
    <col min="5124" max="5124" width="13.5703125" style="3" customWidth="1"/>
    <col min="5125" max="5129" width="0" style="3" hidden="1" customWidth="1"/>
    <col min="5130" max="5130" width="13.28515625" style="3" customWidth="1"/>
    <col min="5131" max="5131" width="14.140625" style="3" customWidth="1"/>
    <col min="5132" max="5132" width="13.5703125" style="3" customWidth="1"/>
    <col min="5133" max="5133" width="0" style="3" hidden="1" customWidth="1"/>
    <col min="5134" max="5134" width="9.140625" style="3"/>
    <col min="5135" max="5135" width="11.140625" style="3" bestFit="1" customWidth="1"/>
    <col min="5136" max="5373" width="9.140625" style="3"/>
    <col min="5374" max="5374" width="6.85546875" style="3" customWidth="1"/>
    <col min="5375" max="5375" width="14.7109375" style="3" customWidth="1"/>
    <col min="5376" max="5376" width="5.28515625" style="3" customWidth="1"/>
    <col min="5377" max="5377" width="59" style="3" customWidth="1"/>
    <col min="5378" max="5378" width="13.28515625" style="3" customWidth="1"/>
    <col min="5379" max="5379" width="14.140625" style="3" customWidth="1"/>
    <col min="5380" max="5380" width="13.5703125" style="3" customWidth="1"/>
    <col min="5381" max="5385" width="0" style="3" hidden="1" customWidth="1"/>
    <col min="5386" max="5386" width="13.28515625" style="3" customWidth="1"/>
    <col min="5387" max="5387" width="14.140625" style="3" customWidth="1"/>
    <col min="5388" max="5388" width="13.5703125" style="3" customWidth="1"/>
    <col min="5389" max="5389" width="0" style="3" hidden="1" customWidth="1"/>
    <col min="5390" max="5390" width="9.140625" style="3"/>
    <col min="5391" max="5391" width="11.140625" style="3" bestFit="1" customWidth="1"/>
    <col min="5392" max="5629" width="9.140625" style="3"/>
    <col min="5630" max="5630" width="6.85546875" style="3" customWidth="1"/>
    <col min="5631" max="5631" width="14.7109375" style="3" customWidth="1"/>
    <col min="5632" max="5632" width="5.28515625" style="3" customWidth="1"/>
    <col min="5633" max="5633" width="59" style="3" customWidth="1"/>
    <col min="5634" max="5634" width="13.28515625" style="3" customWidth="1"/>
    <col min="5635" max="5635" width="14.140625" style="3" customWidth="1"/>
    <col min="5636" max="5636" width="13.5703125" style="3" customWidth="1"/>
    <col min="5637" max="5641" width="0" style="3" hidden="1" customWidth="1"/>
    <col min="5642" max="5642" width="13.28515625" style="3" customWidth="1"/>
    <col min="5643" max="5643" width="14.140625" style="3" customWidth="1"/>
    <col min="5644" max="5644" width="13.5703125" style="3" customWidth="1"/>
    <col min="5645" max="5645" width="0" style="3" hidden="1" customWidth="1"/>
    <col min="5646" max="5646" width="9.140625" style="3"/>
    <col min="5647" max="5647" width="11.140625" style="3" bestFit="1" customWidth="1"/>
    <col min="5648" max="5885" width="9.140625" style="3"/>
    <col min="5886" max="5886" width="6.85546875" style="3" customWidth="1"/>
    <col min="5887" max="5887" width="14.7109375" style="3" customWidth="1"/>
    <col min="5888" max="5888" width="5.28515625" style="3" customWidth="1"/>
    <col min="5889" max="5889" width="59" style="3" customWidth="1"/>
    <col min="5890" max="5890" width="13.28515625" style="3" customWidth="1"/>
    <col min="5891" max="5891" width="14.140625" style="3" customWidth="1"/>
    <col min="5892" max="5892" width="13.5703125" style="3" customWidth="1"/>
    <col min="5893" max="5897" width="0" style="3" hidden="1" customWidth="1"/>
    <col min="5898" max="5898" width="13.28515625" style="3" customWidth="1"/>
    <col min="5899" max="5899" width="14.140625" style="3" customWidth="1"/>
    <col min="5900" max="5900" width="13.5703125" style="3" customWidth="1"/>
    <col min="5901" max="5901" width="0" style="3" hidden="1" customWidth="1"/>
    <col min="5902" max="5902" width="9.140625" style="3"/>
    <col min="5903" max="5903" width="11.140625" style="3" bestFit="1" customWidth="1"/>
    <col min="5904" max="6141" width="9.140625" style="3"/>
    <col min="6142" max="6142" width="6.85546875" style="3" customWidth="1"/>
    <col min="6143" max="6143" width="14.7109375" style="3" customWidth="1"/>
    <col min="6144" max="6144" width="5.28515625" style="3" customWidth="1"/>
    <col min="6145" max="6145" width="59" style="3" customWidth="1"/>
    <col min="6146" max="6146" width="13.28515625" style="3" customWidth="1"/>
    <col min="6147" max="6147" width="14.140625" style="3" customWidth="1"/>
    <col min="6148" max="6148" width="13.5703125" style="3" customWidth="1"/>
    <col min="6149" max="6153" width="0" style="3" hidden="1" customWidth="1"/>
    <col min="6154" max="6154" width="13.28515625" style="3" customWidth="1"/>
    <col min="6155" max="6155" width="14.140625" style="3" customWidth="1"/>
    <col min="6156" max="6156" width="13.5703125" style="3" customWidth="1"/>
    <col min="6157" max="6157" width="0" style="3" hidden="1" customWidth="1"/>
    <col min="6158" max="6158" width="9.140625" style="3"/>
    <col min="6159" max="6159" width="11.140625" style="3" bestFit="1" customWidth="1"/>
    <col min="6160" max="6397" width="9.140625" style="3"/>
    <col min="6398" max="6398" width="6.85546875" style="3" customWidth="1"/>
    <col min="6399" max="6399" width="14.7109375" style="3" customWidth="1"/>
    <col min="6400" max="6400" width="5.28515625" style="3" customWidth="1"/>
    <col min="6401" max="6401" width="59" style="3" customWidth="1"/>
    <col min="6402" max="6402" width="13.28515625" style="3" customWidth="1"/>
    <col min="6403" max="6403" width="14.140625" style="3" customWidth="1"/>
    <col min="6404" max="6404" width="13.5703125" style="3" customWidth="1"/>
    <col min="6405" max="6409" width="0" style="3" hidden="1" customWidth="1"/>
    <col min="6410" max="6410" width="13.28515625" style="3" customWidth="1"/>
    <col min="6411" max="6411" width="14.140625" style="3" customWidth="1"/>
    <col min="6412" max="6412" width="13.5703125" style="3" customWidth="1"/>
    <col min="6413" max="6413" width="0" style="3" hidden="1" customWidth="1"/>
    <col min="6414" max="6414" width="9.140625" style="3"/>
    <col min="6415" max="6415" width="11.140625" style="3" bestFit="1" customWidth="1"/>
    <col min="6416" max="6653" width="9.140625" style="3"/>
    <col min="6654" max="6654" width="6.85546875" style="3" customWidth="1"/>
    <col min="6655" max="6655" width="14.7109375" style="3" customWidth="1"/>
    <col min="6656" max="6656" width="5.28515625" style="3" customWidth="1"/>
    <col min="6657" max="6657" width="59" style="3" customWidth="1"/>
    <col min="6658" max="6658" width="13.28515625" style="3" customWidth="1"/>
    <col min="6659" max="6659" width="14.140625" style="3" customWidth="1"/>
    <col min="6660" max="6660" width="13.5703125" style="3" customWidth="1"/>
    <col min="6661" max="6665" width="0" style="3" hidden="1" customWidth="1"/>
    <col min="6666" max="6666" width="13.28515625" style="3" customWidth="1"/>
    <col min="6667" max="6667" width="14.140625" style="3" customWidth="1"/>
    <col min="6668" max="6668" width="13.5703125" style="3" customWidth="1"/>
    <col min="6669" max="6669" width="0" style="3" hidden="1" customWidth="1"/>
    <col min="6670" max="6670" width="9.140625" style="3"/>
    <col min="6671" max="6671" width="11.140625" style="3" bestFit="1" customWidth="1"/>
    <col min="6672" max="6909" width="9.140625" style="3"/>
    <col min="6910" max="6910" width="6.85546875" style="3" customWidth="1"/>
    <col min="6911" max="6911" width="14.7109375" style="3" customWidth="1"/>
    <col min="6912" max="6912" width="5.28515625" style="3" customWidth="1"/>
    <col min="6913" max="6913" width="59" style="3" customWidth="1"/>
    <col min="6914" max="6914" width="13.28515625" style="3" customWidth="1"/>
    <col min="6915" max="6915" width="14.140625" style="3" customWidth="1"/>
    <col min="6916" max="6916" width="13.5703125" style="3" customWidth="1"/>
    <col min="6917" max="6921" width="0" style="3" hidden="1" customWidth="1"/>
    <col min="6922" max="6922" width="13.28515625" style="3" customWidth="1"/>
    <col min="6923" max="6923" width="14.140625" style="3" customWidth="1"/>
    <col min="6924" max="6924" width="13.5703125" style="3" customWidth="1"/>
    <col min="6925" max="6925" width="0" style="3" hidden="1" customWidth="1"/>
    <col min="6926" max="6926" width="9.140625" style="3"/>
    <col min="6927" max="6927" width="11.140625" style="3" bestFit="1" customWidth="1"/>
    <col min="6928" max="7165" width="9.140625" style="3"/>
    <col min="7166" max="7166" width="6.85546875" style="3" customWidth="1"/>
    <col min="7167" max="7167" width="14.7109375" style="3" customWidth="1"/>
    <col min="7168" max="7168" width="5.28515625" style="3" customWidth="1"/>
    <col min="7169" max="7169" width="59" style="3" customWidth="1"/>
    <col min="7170" max="7170" width="13.28515625" style="3" customWidth="1"/>
    <col min="7171" max="7171" width="14.140625" style="3" customWidth="1"/>
    <col min="7172" max="7172" width="13.5703125" style="3" customWidth="1"/>
    <col min="7173" max="7177" width="0" style="3" hidden="1" customWidth="1"/>
    <col min="7178" max="7178" width="13.28515625" style="3" customWidth="1"/>
    <col min="7179" max="7179" width="14.140625" style="3" customWidth="1"/>
    <col min="7180" max="7180" width="13.5703125" style="3" customWidth="1"/>
    <col min="7181" max="7181" width="0" style="3" hidden="1" customWidth="1"/>
    <col min="7182" max="7182" width="9.140625" style="3"/>
    <col min="7183" max="7183" width="11.140625" style="3" bestFit="1" customWidth="1"/>
    <col min="7184" max="7421" width="9.140625" style="3"/>
    <col min="7422" max="7422" width="6.85546875" style="3" customWidth="1"/>
    <col min="7423" max="7423" width="14.7109375" style="3" customWidth="1"/>
    <col min="7424" max="7424" width="5.28515625" style="3" customWidth="1"/>
    <col min="7425" max="7425" width="59" style="3" customWidth="1"/>
    <col min="7426" max="7426" width="13.28515625" style="3" customWidth="1"/>
    <col min="7427" max="7427" width="14.140625" style="3" customWidth="1"/>
    <col min="7428" max="7428" width="13.5703125" style="3" customWidth="1"/>
    <col min="7429" max="7433" width="0" style="3" hidden="1" customWidth="1"/>
    <col min="7434" max="7434" width="13.28515625" style="3" customWidth="1"/>
    <col min="7435" max="7435" width="14.140625" style="3" customWidth="1"/>
    <col min="7436" max="7436" width="13.5703125" style="3" customWidth="1"/>
    <col min="7437" max="7437" width="0" style="3" hidden="1" customWidth="1"/>
    <col min="7438" max="7438" width="9.140625" style="3"/>
    <col min="7439" max="7439" width="11.140625" style="3" bestFit="1" customWidth="1"/>
    <col min="7440" max="7677" width="9.140625" style="3"/>
    <col min="7678" max="7678" width="6.85546875" style="3" customWidth="1"/>
    <col min="7679" max="7679" width="14.7109375" style="3" customWidth="1"/>
    <col min="7680" max="7680" width="5.28515625" style="3" customWidth="1"/>
    <col min="7681" max="7681" width="59" style="3" customWidth="1"/>
    <col min="7682" max="7682" width="13.28515625" style="3" customWidth="1"/>
    <col min="7683" max="7683" width="14.140625" style="3" customWidth="1"/>
    <col min="7684" max="7684" width="13.5703125" style="3" customWidth="1"/>
    <col min="7685" max="7689" width="0" style="3" hidden="1" customWidth="1"/>
    <col min="7690" max="7690" width="13.28515625" style="3" customWidth="1"/>
    <col min="7691" max="7691" width="14.140625" style="3" customWidth="1"/>
    <col min="7692" max="7692" width="13.5703125" style="3" customWidth="1"/>
    <col min="7693" max="7693" width="0" style="3" hidden="1" customWidth="1"/>
    <col min="7694" max="7694" width="9.140625" style="3"/>
    <col min="7695" max="7695" width="11.140625" style="3" bestFit="1" customWidth="1"/>
    <col min="7696" max="7933" width="9.140625" style="3"/>
    <col min="7934" max="7934" width="6.85546875" style="3" customWidth="1"/>
    <col min="7935" max="7935" width="14.7109375" style="3" customWidth="1"/>
    <col min="7936" max="7936" width="5.28515625" style="3" customWidth="1"/>
    <col min="7937" max="7937" width="59" style="3" customWidth="1"/>
    <col min="7938" max="7938" width="13.28515625" style="3" customWidth="1"/>
    <col min="7939" max="7939" width="14.140625" style="3" customWidth="1"/>
    <col min="7940" max="7940" width="13.5703125" style="3" customWidth="1"/>
    <col min="7941" max="7945" width="0" style="3" hidden="1" customWidth="1"/>
    <col min="7946" max="7946" width="13.28515625" style="3" customWidth="1"/>
    <col min="7947" max="7947" width="14.140625" style="3" customWidth="1"/>
    <col min="7948" max="7948" width="13.5703125" style="3" customWidth="1"/>
    <col min="7949" max="7949" width="0" style="3" hidden="1" customWidth="1"/>
    <col min="7950" max="7950" width="9.140625" style="3"/>
    <col min="7951" max="7951" width="11.140625" style="3" bestFit="1" customWidth="1"/>
    <col min="7952" max="8189" width="9.140625" style="3"/>
    <col min="8190" max="8190" width="6.85546875" style="3" customWidth="1"/>
    <col min="8191" max="8191" width="14.7109375" style="3" customWidth="1"/>
    <col min="8192" max="8192" width="5.28515625" style="3" customWidth="1"/>
    <col min="8193" max="8193" width="59" style="3" customWidth="1"/>
    <col min="8194" max="8194" width="13.28515625" style="3" customWidth="1"/>
    <col min="8195" max="8195" width="14.140625" style="3" customWidth="1"/>
    <col min="8196" max="8196" width="13.5703125" style="3" customWidth="1"/>
    <col min="8197" max="8201" width="0" style="3" hidden="1" customWidth="1"/>
    <col min="8202" max="8202" width="13.28515625" style="3" customWidth="1"/>
    <col min="8203" max="8203" width="14.140625" style="3" customWidth="1"/>
    <col min="8204" max="8204" width="13.5703125" style="3" customWidth="1"/>
    <col min="8205" max="8205" width="0" style="3" hidden="1" customWidth="1"/>
    <col min="8206" max="8206" width="9.140625" style="3"/>
    <col min="8207" max="8207" width="11.140625" style="3" bestFit="1" customWidth="1"/>
    <col min="8208" max="8445" width="9.140625" style="3"/>
    <col min="8446" max="8446" width="6.85546875" style="3" customWidth="1"/>
    <col min="8447" max="8447" width="14.7109375" style="3" customWidth="1"/>
    <col min="8448" max="8448" width="5.28515625" style="3" customWidth="1"/>
    <col min="8449" max="8449" width="59" style="3" customWidth="1"/>
    <col min="8450" max="8450" width="13.28515625" style="3" customWidth="1"/>
    <col min="8451" max="8451" width="14.140625" style="3" customWidth="1"/>
    <col min="8452" max="8452" width="13.5703125" style="3" customWidth="1"/>
    <col min="8453" max="8457" width="0" style="3" hidden="1" customWidth="1"/>
    <col min="8458" max="8458" width="13.28515625" style="3" customWidth="1"/>
    <col min="8459" max="8459" width="14.140625" style="3" customWidth="1"/>
    <col min="8460" max="8460" width="13.5703125" style="3" customWidth="1"/>
    <col min="8461" max="8461" width="0" style="3" hidden="1" customWidth="1"/>
    <col min="8462" max="8462" width="9.140625" style="3"/>
    <col min="8463" max="8463" width="11.140625" style="3" bestFit="1" customWidth="1"/>
    <col min="8464" max="8701" width="9.140625" style="3"/>
    <col min="8702" max="8702" width="6.85546875" style="3" customWidth="1"/>
    <col min="8703" max="8703" width="14.7109375" style="3" customWidth="1"/>
    <col min="8704" max="8704" width="5.28515625" style="3" customWidth="1"/>
    <col min="8705" max="8705" width="59" style="3" customWidth="1"/>
    <col min="8706" max="8706" width="13.28515625" style="3" customWidth="1"/>
    <col min="8707" max="8707" width="14.140625" style="3" customWidth="1"/>
    <col min="8708" max="8708" width="13.5703125" style="3" customWidth="1"/>
    <col min="8709" max="8713" width="0" style="3" hidden="1" customWidth="1"/>
    <col min="8714" max="8714" width="13.28515625" style="3" customWidth="1"/>
    <col min="8715" max="8715" width="14.140625" style="3" customWidth="1"/>
    <col min="8716" max="8716" width="13.5703125" style="3" customWidth="1"/>
    <col min="8717" max="8717" width="0" style="3" hidden="1" customWidth="1"/>
    <col min="8718" max="8718" width="9.140625" style="3"/>
    <col min="8719" max="8719" width="11.140625" style="3" bestFit="1" customWidth="1"/>
    <col min="8720" max="8957" width="9.140625" style="3"/>
    <col min="8958" max="8958" width="6.85546875" style="3" customWidth="1"/>
    <col min="8959" max="8959" width="14.7109375" style="3" customWidth="1"/>
    <col min="8960" max="8960" width="5.28515625" style="3" customWidth="1"/>
    <col min="8961" max="8961" width="59" style="3" customWidth="1"/>
    <col min="8962" max="8962" width="13.28515625" style="3" customWidth="1"/>
    <col min="8963" max="8963" width="14.140625" style="3" customWidth="1"/>
    <col min="8964" max="8964" width="13.5703125" style="3" customWidth="1"/>
    <col min="8965" max="8969" width="0" style="3" hidden="1" customWidth="1"/>
    <col min="8970" max="8970" width="13.28515625" style="3" customWidth="1"/>
    <col min="8971" max="8971" width="14.140625" style="3" customWidth="1"/>
    <col min="8972" max="8972" width="13.5703125" style="3" customWidth="1"/>
    <col min="8973" max="8973" width="0" style="3" hidden="1" customWidth="1"/>
    <col min="8974" max="8974" width="9.140625" style="3"/>
    <col min="8975" max="8975" width="11.140625" style="3" bestFit="1" customWidth="1"/>
    <col min="8976" max="9213" width="9.140625" style="3"/>
    <col min="9214" max="9214" width="6.85546875" style="3" customWidth="1"/>
    <col min="9215" max="9215" width="14.7109375" style="3" customWidth="1"/>
    <col min="9216" max="9216" width="5.28515625" style="3" customWidth="1"/>
    <col min="9217" max="9217" width="59" style="3" customWidth="1"/>
    <col min="9218" max="9218" width="13.28515625" style="3" customWidth="1"/>
    <col min="9219" max="9219" width="14.140625" style="3" customWidth="1"/>
    <col min="9220" max="9220" width="13.5703125" style="3" customWidth="1"/>
    <col min="9221" max="9225" width="0" style="3" hidden="1" customWidth="1"/>
    <col min="9226" max="9226" width="13.28515625" style="3" customWidth="1"/>
    <col min="9227" max="9227" width="14.140625" style="3" customWidth="1"/>
    <col min="9228" max="9228" width="13.5703125" style="3" customWidth="1"/>
    <col min="9229" max="9229" width="0" style="3" hidden="1" customWidth="1"/>
    <col min="9230" max="9230" width="9.140625" style="3"/>
    <col min="9231" max="9231" width="11.140625" style="3" bestFit="1" customWidth="1"/>
    <col min="9232" max="9469" width="9.140625" style="3"/>
    <col min="9470" max="9470" width="6.85546875" style="3" customWidth="1"/>
    <col min="9471" max="9471" width="14.7109375" style="3" customWidth="1"/>
    <col min="9472" max="9472" width="5.28515625" style="3" customWidth="1"/>
    <col min="9473" max="9473" width="59" style="3" customWidth="1"/>
    <col min="9474" max="9474" width="13.28515625" style="3" customWidth="1"/>
    <col min="9475" max="9475" width="14.140625" style="3" customWidth="1"/>
    <col min="9476" max="9476" width="13.5703125" style="3" customWidth="1"/>
    <col min="9477" max="9481" width="0" style="3" hidden="1" customWidth="1"/>
    <col min="9482" max="9482" width="13.28515625" style="3" customWidth="1"/>
    <col min="9483" max="9483" width="14.140625" style="3" customWidth="1"/>
    <col min="9484" max="9484" width="13.5703125" style="3" customWidth="1"/>
    <col min="9485" max="9485" width="0" style="3" hidden="1" customWidth="1"/>
    <col min="9486" max="9486" width="9.140625" style="3"/>
    <col min="9487" max="9487" width="11.140625" style="3" bestFit="1" customWidth="1"/>
    <col min="9488" max="9725" width="9.140625" style="3"/>
    <col min="9726" max="9726" width="6.85546875" style="3" customWidth="1"/>
    <col min="9727" max="9727" width="14.7109375" style="3" customWidth="1"/>
    <col min="9728" max="9728" width="5.28515625" style="3" customWidth="1"/>
    <col min="9729" max="9729" width="59" style="3" customWidth="1"/>
    <col min="9730" max="9730" width="13.28515625" style="3" customWidth="1"/>
    <col min="9731" max="9731" width="14.140625" style="3" customWidth="1"/>
    <col min="9732" max="9732" width="13.5703125" style="3" customWidth="1"/>
    <col min="9733" max="9737" width="0" style="3" hidden="1" customWidth="1"/>
    <col min="9738" max="9738" width="13.28515625" style="3" customWidth="1"/>
    <col min="9739" max="9739" width="14.140625" style="3" customWidth="1"/>
    <col min="9740" max="9740" width="13.5703125" style="3" customWidth="1"/>
    <col min="9741" max="9741" width="0" style="3" hidden="1" customWidth="1"/>
    <col min="9742" max="9742" width="9.140625" style="3"/>
    <col min="9743" max="9743" width="11.140625" style="3" bestFit="1" customWidth="1"/>
    <col min="9744" max="9981" width="9.140625" style="3"/>
    <col min="9982" max="9982" width="6.85546875" style="3" customWidth="1"/>
    <col min="9983" max="9983" width="14.7109375" style="3" customWidth="1"/>
    <col min="9984" max="9984" width="5.28515625" style="3" customWidth="1"/>
    <col min="9985" max="9985" width="59" style="3" customWidth="1"/>
    <col min="9986" max="9986" width="13.28515625" style="3" customWidth="1"/>
    <col min="9987" max="9987" width="14.140625" style="3" customWidth="1"/>
    <col min="9988" max="9988" width="13.5703125" style="3" customWidth="1"/>
    <col min="9989" max="9993" width="0" style="3" hidden="1" customWidth="1"/>
    <col min="9994" max="9994" width="13.28515625" style="3" customWidth="1"/>
    <col min="9995" max="9995" width="14.140625" style="3" customWidth="1"/>
    <col min="9996" max="9996" width="13.5703125" style="3" customWidth="1"/>
    <col min="9997" max="9997" width="0" style="3" hidden="1" customWidth="1"/>
    <col min="9998" max="9998" width="9.140625" style="3"/>
    <col min="9999" max="9999" width="11.140625" style="3" bestFit="1" customWidth="1"/>
    <col min="10000" max="10237" width="9.140625" style="3"/>
    <col min="10238" max="10238" width="6.85546875" style="3" customWidth="1"/>
    <col min="10239" max="10239" width="14.7109375" style="3" customWidth="1"/>
    <col min="10240" max="10240" width="5.28515625" style="3" customWidth="1"/>
    <col min="10241" max="10241" width="59" style="3" customWidth="1"/>
    <col min="10242" max="10242" width="13.28515625" style="3" customWidth="1"/>
    <col min="10243" max="10243" width="14.140625" style="3" customWidth="1"/>
    <col min="10244" max="10244" width="13.5703125" style="3" customWidth="1"/>
    <col min="10245" max="10249" width="0" style="3" hidden="1" customWidth="1"/>
    <col min="10250" max="10250" width="13.28515625" style="3" customWidth="1"/>
    <col min="10251" max="10251" width="14.140625" style="3" customWidth="1"/>
    <col min="10252" max="10252" width="13.5703125" style="3" customWidth="1"/>
    <col min="10253" max="10253" width="0" style="3" hidden="1" customWidth="1"/>
    <col min="10254" max="10254" width="9.140625" style="3"/>
    <col min="10255" max="10255" width="11.140625" style="3" bestFit="1" customWidth="1"/>
    <col min="10256" max="10493" width="9.140625" style="3"/>
    <col min="10494" max="10494" width="6.85546875" style="3" customWidth="1"/>
    <col min="10495" max="10495" width="14.7109375" style="3" customWidth="1"/>
    <col min="10496" max="10496" width="5.28515625" style="3" customWidth="1"/>
    <col min="10497" max="10497" width="59" style="3" customWidth="1"/>
    <col min="10498" max="10498" width="13.28515625" style="3" customWidth="1"/>
    <col min="10499" max="10499" width="14.140625" style="3" customWidth="1"/>
    <col min="10500" max="10500" width="13.5703125" style="3" customWidth="1"/>
    <col min="10501" max="10505" width="0" style="3" hidden="1" customWidth="1"/>
    <col min="10506" max="10506" width="13.28515625" style="3" customWidth="1"/>
    <col min="10507" max="10507" width="14.140625" style="3" customWidth="1"/>
    <col min="10508" max="10508" width="13.5703125" style="3" customWidth="1"/>
    <col min="10509" max="10509" width="0" style="3" hidden="1" customWidth="1"/>
    <col min="10510" max="10510" width="9.140625" style="3"/>
    <col min="10511" max="10511" width="11.140625" style="3" bestFit="1" customWidth="1"/>
    <col min="10512" max="10749" width="9.140625" style="3"/>
    <col min="10750" max="10750" width="6.85546875" style="3" customWidth="1"/>
    <col min="10751" max="10751" width="14.7109375" style="3" customWidth="1"/>
    <col min="10752" max="10752" width="5.28515625" style="3" customWidth="1"/>
    <col min="10753" max="10753" width="59" style="3" customWidth="1"/>
    <col min="10754" max="10754" width="13.28515625" style="3" customWidth="1"/>
    <col min="10755" max="10755" width="14.140625" style="3" customWidth="1"/>
    <col min="10756" max="10756" width="13.5703125" style="3" customWidth="1"/>
    <col min="10757" max="10761" width="0" style="3" hidden="1" customWidth="1"/>
    <col min="10762" max="10762" width="13.28515625" style="3" customWidth="1"/>
    <col min="10763" max="10763" width="14.140625" style="3" customWidth="1"/>
    <col min="10764" max="10764" width="13.5703125" style="3" customWidth="1"/>
    <col min="10765" max="10765" width="0" style="3" hidden="1" customWidth="1"/>
    <col min="10766" max="10766" width="9.140625" style="3"/>
    <col min="10767" max="10767" width="11.140625" style="3" bestFit="1" customWidth="1"/>
    <col min="10768" max="11005" width="9.140625" style="3"/>
    <col min="11006" max="11006" width="6.85546875" style="3" customWidth="1"/>
    <col min="11007" max="11007" width="14.7109375" style="3" customWidth="1"/>
    <col min="11008" max="11008" width="5.28515625" style="3" customWidth="1"/>
    <col min="11009" max="11009" width="59" style="3" customWidth="1"/>
    <col min="11010" max="11010" width="13.28515625" style="3" customWidth="1"/>
    <col min="11011" max="11011" width="14.140625" style="3" customWidth="1"/>
    <col min="11012" max="11012" width="13.5703125" style="3" customWidth="1"/>
    <col min="11013" max="11017" width="0" style="3" hidden="1" customWidth="1"/>
    <col min="11018" max="11018" width="13.28515625" style="3" customWidth="1"/>
    <col min="11019" max="11019" width="14.140625" style="3" customWidth="1"/>
    <col min="11020" max="11020" width="13.5703125" style="3" customWidth="1"/>
    <col min="11021" max="11021" width="0" style="3" hidden="1" customWidth="1"/>
    <col min="11022" max="11022" width="9.140625" style="3"/>
    <col min="11023" max="11023" width="11.140625" style="3" bestFit="1" customWidth="1"/>
    <col min="11024" max="11261" width="9.140625" style="3"/>
    <col min="11262" max="11262" width="6.85546875" style="3" customWidth="1"/>
    <col min="11263" max="11263" width="14.7109375" style="3" customWidth="1"/>
    <col min="11264" max="11264" width="5.28515625" style="3" customWidth="1"/>
    <col min="11265" max="11265" width="59" style="3" customWidth="1"/>
    <col min="11266" max="11266" width="13.28515625" style="3" customWidth="1"/>
    <col min="11267" max="11267" width="14.140625" style="3" customWidth="1"/>
    <col min="11268" max="11268" width="13.5703125" style="3" customWidth="1"/>
    <col min="11269" max="11273" width="0" style="3" hidden="1" customWidth="1"/>
    <col min="11274" max="11274" width="13.28515625" style="3" customWidth="1"/>
    <col min="11275" max="11275" width="14.140625" style="3" customWidth="1"/>
    <col min="11276" max="11276" width="13.5703125" style="3" customWidth="1"/>
    <col min="11277" max="11277" width="0" style="3" hidden="1" customWidth="1"/>
    <col min="11278" max="11278" width="9.140625" style="3"/>
    <col min="11279" max="11279" width="11.140625" style="3" bestFit="1" customWidth="1"/>
    <col min="11280" max="11517" width="9.140625" style="3"/>
    <col min="11518" max="11518" width="6.85546875" style="3" customWidth="1"/>
    <col min="11519" max="11519" width="14.7109375" style="3" customWidth="1"/>
    <col min="11520" max="11520" width="5.28515625" style="3" customWidth="1"/>
    <col min="11521" max="11521" width="59" style="3" customWidth="1"/>
    <col min="11522" max="11522" width="13.28515625" style="3" customWidth="1"/>
    <col min="11523" max="11523" width="14.140625" style="3" customWidth="1"/>
    <col min="11524" max="11524" width="13.5703125" style="3" customWidth="1"/>
    <col min="11525" max="11529" width="0" style="3" hidden="1" customWidth="1"/>
    <col min="11530" max="11530" width="13.28515625" style="3" customWidth="1"/>
    <col min="11531" max="11531" width="14.140625" style="3" customWidth="1"/>
    <col min="11532" max="11532" width="13.5703125" style="3" customWidth="1"/>
    <col min="11533" max="11533" width="0" style="3" hidden="1" customWidth="1"/>
    <col min="11534" max="11534" width="9.140625" style="3"/>
    <col min="11535" max="11535" width="11.140625" style="3" bestFit="1" customWidth="1"/>
    <col min="11536" max="11773" width="9.140625" style="3"/>
    <col min="11774" max="11774" width="6.85546875" style="3" customWidth="1"/>
    <col min="11775" max="11775" width="14.7109375" style="3" customWidth="1"/>
    <col min="11776" max="11776" width="5.28515625" style="3" customWidth="1"/>
    <col min="11777" max="11777" width="59" style="3" customWidth="1"/>
    <col min="11778" max="11778" width="13.28515625" style="3" customWidth="1"/>
    <col min="11779" max="11779" width="14.140625" style="3" customWidth="1"/>
    <col min="11780" max="11780" width="13.5703125" style="3" customWidth="1"/>
    <col min="11781" max="11785" width="0" style="3" hidden="1" customWidth="1"/>
    <col min="11786" max="11786" width="13.28515625" style="3" customWidth="1"/>
    <col min="11787" max="11787" width="14.140625" style="3" customWidth="1"/>
    <col min="11788" max="11788" width="13.5703125" style="3" customWidth="1"/>
    <col min="11789" max="11789" width="0" style="3" hidden="1" customWidth="1"/>
    <col min="11790" max="11790" width="9.140625" style="3"/>
    <col min="11791" max="11791" width="11.140625" style="3" bestFit="1" customWidth="1"/>
    <col min="11792" max="12029" width="9.140625" style="3"/>
    <col min="12030" max="12030" width="6.85546875" style="3" customWidth="1"/>
    <col min="12031" max="12031" width="14.7109375" style="3" customWidth="1"/>
    <col min="12032" max="12032" width="5.28515625" style="3" customWidth="1"/>
    <col min="12033" max="12033" width="59" style="3" customWidth="1"/>
    <col min="12034" max="12034" width="13.28515625" style="3" customWidth="1"/>
    <col min="12035" max="12035" width="14.140625" style="3" customWidth="1"/>
    <col min="12036" max="12036" width="13.5703125" style="3" customWidth="1"/>
    <col min="12037" max="12041" width="0" style="3" hidden="1" customWidth="1"/>
    <col min="12042" max="12042" width="13.28515625" style="3" customWidth="1"/>
    <col min="12043" max="12043" width="14.140625" style="3" customWidth="1"/>
    <col min="12044" max="12044" width="13.5703125" style="3" customWidth="1"/>
    <col min="12045" max="12045" width="0" style="3" hidden="1" customWidth="1"/>
    <col min="12046" max="12046" width="9.140625" style="3"/>
    <col min="12047" max="12047" width="11.140625" style="3" bestFit="1" customWidth="1"/>
    <col min="12048" max="12285" width="9.140625" style="3"/>
    <col min="12286" max="12286" width="6.85546875" style="3" customWidth="1"/>
    <col min="12287" max="12287" width="14.7109375" style="3" customWidth="1"/>
    <col min="12288" max="12288" width="5.28515625" style="3" customWidth="1"/>
    <col min="12289" max="12289" width="59" style="3" customWidth="1"/>
    <col min="12290" max="12290" width="13.28515625" style="3" customWidth="1"/>
    <col min="12291" max="12291" width="14.140625" style="3" customWidth="1"/>
    <col min="12292" max="12292" width="13.5703125" style="3" customWidth="1"/>
    <col min="12293" max="12297" width="0" style="3" hidden="1" customWidth="1"/>
    <col min="12298" max="12298" width="13.28515625" style="3" customWidth="1"/>
    <col min="12299" max="12299" width="14.140625" style="3" customWidth="1"/>
    <col min="12300" max="12300" width="13.5703125" style="3" customWidth="1"/>
    <col min="12301" max="12301" width="0" style="3" hidden="1" customWidth="1"/>
    <col min="12302" max="12302" width="9.140625" style="3"/>
    <col min="12303" max="12303" width="11.140625" style="3" bestFit="1" customWidth="1"/>
    <col min="12304" max="12541" width="9.140625" style="3"/>
    <col min="12542" max="12542" width="6.85546875" style="3" customWidth="1"/>
    <col min="12543" max="12543" width="14.7109375" style="3" customWidth="1"/>
    <col min="12544" max="12544" width="5.28515625" style="3" customWidth="1"/>
    <col min="12545" max="12545" width="59" style="3" customWidth="1"/>
    <col min="12546" max="12546" width="13.28515625" style="3" customWidth="1"/>
    <col min="12547" max="12547" width="14.140625" style="3" customWidth="1"/>
    <col min="12548" max="12548" width="13.5703125" style="3" customWidth="1"/>
    <col min="12549" max="12553" width="0" style="3" hidden="1" customWidth="1"/>
    <col min="12554" max="12554" width="13.28515625" style="3" customWidth="1"/>
    <col min="12555" max="12555" width="14.140625" style="3" customWidth="1"/>
    <col min="12556" max="12556" width="13.5703125" style="3" customWidth="1"/>
    <col min="12557" max="12557" width="0" style="3" hidden="1" customWidth="1"/>
    <col min="12558" max="12558" width="9.140625" style="3"/>
    <col min="12559" max="12559" width="11.140625" style="3" bestFit="1" customWidth="1"/>
    <col min="12560" max="12797" width="9.140625" style="3"/>
    <col min="12798" max="12798" width="6.85546875" style="3" customWidth="1"/>
    <col min="12799" max="12799" width="14.7109375" style="3" customWidth="1"/>
    <col min="12800" max="12800" width="5.28515625" style="3" customWidth="1"/>
    <col min="12801" max="12801" width="59" style="3" customWidth="1"/>
    <col min="12802" max="12802" width="13.28515625" style="3" customWidth="1"/>
    <col min="12803" max="12803" width="14.140625" style="3" customWidth="1"/>
    <col min="12804" max="12804" width="13.5703125" style="3" customWidth="1"/>
    <col min="12805" max="12809" width="0" style="3" hidden="1" customWidth="1"/>
    <col min="12810" max="12810" width="13.28515625" style="3" customWidth="1"/>
    <col min="12811" max="12811" width="14.140625" style="3" customWidth="1"/>
    <col min="12812" max="12812" width="13.5703125" style="3" customWidth="1"/>
    <col min="12813" max="12813" width="0" style="3" hidden="1" customWidth="1"/>
    <col min="12814" max="12814" width="9.140625" style="3"/>
    <col min="12815" max="12815" width="11.140625" style="3" bestFit="1" customWidth="1"/>
    <col min="12816" max="13053" width="9.140625" style="3"/>
    <col min="13054" max="13054" width="6.85546875" style="3" customWidth="1"/>
    <col min="13055" max="13055" width="14.7109375" style="3" customWidth="1"/>
    <col min="13056" max="13056" width="5.28515625" style="3" customWidth="1"/>
    <col min="13057" max="13057" width="59" style="3" customWidth="1"/>
    <col min="13058" max="13058" width="13.28515625" style="3" customWidth="1"/>
    <col min="13059" max="13059" width="14.140625" style="3" customWidth="1"/>
    <col min="13060" max="13060" width="13.5703125" style="3" customWidth="1"/>
    <col min="13061" max="13065" width="0" style="3" hidden="1" customWidth="1"/>
    <col min="13066" max="13066" width="13.28515625" style="3" customWidth="1"/>
    <col min="13067" max="13067" width="14.140625" style="3" customWidth="1"/>
    <col min="13068" max="13068" width="13.5703125" style="3" customWidth="1"/>
    <col min="13069" max="13069" width="0" style="3" hidden="1" customWidth="1"/>
    <col min="13070" max="13070" width="9.140625" style="3"/>
    <col min="13071" max="13071" width="11.140625" style="3" bestFit="1" customWidth="1"/>
    <col min="13072" max="13309" width="9.140625" style="3"/>
    <col min="13310" max="13310" width="6.85546875" style="3" customWidth="1"/>
    <col min="13311" max="13311" width="14.7109375" style="3" customWidth="1"/>
    <col min="13312" max="13312" width="5.28515625" style="3" customWidth="1"/>
    <col min="13313" max="13313" width="59" style="3" customWidth="1"/>
    <col min="13314" max="13314" width="13.28515625" style="3" customWidth="1"/>
    <col min="13315" max="13315" width="14.140625" style="3" customWidth="1"/>
    <col min="13316" max="13316" width="13.5703125" style="3" customWidth="1"/>
    <col min="13317" max="13321" width="0" style="3" hidden="1" customWidth="1"/>
    <col min="13322" max="13322" width="13.28515625" style="3" customWidth="1"/>
    <col min="13323" max="13323" width="14.140625" style="3" customWidth="1"/>
    <col min="13324" max="13324" width="13.5703125" style="3" customWidth="1"/>
    <col min="13325" max="13325" width="0" style="3" hidden="1" customWidth="1"/>
    <col min="13326" max="13326" width="9.140625" style="3"/>
    <col min="13327" max="13327" width="11.140625" style="3" bestFit="1" customWidth="1"/>
    <col min="13328" max="13565" width="9.140625" style="3"/>
    <col min="13566" max="13566" width="6.85546875" style="3" customWidth="1"/>
    <col min="13567" max="13567" width="14.7109375" style="3" customWidth="1"/>
    <col min="13568" max="13568" width="5.28515625" style="3" customWidth="1"/>
    <col min="13569" max="13569" width="59" style="3" customWidth="1"/>
    <col min="13570" max="13570" width="13.28515625" style="3" customWidth="1"/>
    <col min="13571" max="13571" width="14.140625" style="3" customWidth="1"/>
    <col min="13572" max="13572" width="13.5703125" style="3" customWidth="1"/>
    <col min="13573" max="13577" width="0" style="3" hidden="1" customWidth="1"/>
    <col min="13578" max="13578" width="13.28515625" style="3" customWidth="1"/>
    <col min="13579" max="13579" width="14.140625" style="3" customWidth="1"/>
    <col min="13580" max="13580" width="13.5703125" style="3" customWidth="1"/>
    <col min="13581" max="13581" width="0" style="3" hidden="1" customWidth="1"/>
    <col min="13582" max="13582" width="9.140625" style="3"/>
    <col min="13583" max="13583" width="11.140625" style="3" bestFit="1" customWidth="1"/>
    <col min="13584" max="13821" width="9.140625" style="3"/>
    <col min="13822" max="13822" width="6.85546875" style="3" customWidth="1"/>
    <col min="13823" max="13823" width="14.7109375" style="3" customWidth="1"/>
    <col min="13824" max="13824" width="5.28515625" style="3" customWidth="1"/>
    <col min="13825" max="13825" width="59" style="3" customWidth="1"/>
    <col min="13826" max="13826" width="13.28515625" style="3" customWidth="1"/>
    <col min="13827" max="13827" width="14.140625" style="3" customWidth="1"/>
    <col min="13828" max="13828" width="13.5703125" style="3" customWidth="1"/>
    <col min="13829" max="13833" width="0" style="3" hidden="1" customWidth="1"/>
    <col min="13834" max="13834" width="13.28515625" style="3" customWidth="1"/>
    <col min="13835" max="13835" width="14.140625" style="3" customWidth="1"/>
    <col min="13836" max="13836" width="13.5703125" style="3" customWidth="1"/>
    <col min="13837" max="13837" width="0" style="3" hidden="1" customWidth="1"/>
    <col min="13838" max="13838" width="9.140625" style="3"/>
    <col min="13839" max="13839" width="11.140625" style="3" bestFit="1" customWidth="1"/>
    <col min="13840" max="14077" width="9.140625" style="3"/>
    <col min="14078" max="14078" width="6.85546875" style="3" customWidth="1"/>
    <col min="14079" max="14079" width="14.7109375" style="3" customWidth="1"/>
    <col min="14080" max="14080" width="5.28515625" style="3" customWidth="1"/>
    <col min="14081" max="14081" width="59" style="3" customWidth="1"/>
    <col min="14082" max="14082" width="13.28515625" style="3" customWidth="1"/>
    <col min="14083" max="14083" width="14.140625" style="3" customWidth="1"/>
    <col min="14084" max="14084" width="13.5703125" style="3" customWidth="1"/>
    <col min="14085" max="14089" width="0" style="3" hidden="1" customWidth="1"/>
    <col min="14090" max="14090" width="13.28515625" style="3" customWidth="1"/>
    <col min="14091" max="14091" width="14.140625" style="3" customWidth="1"/>
    <col min="14092" max="14092" width="13.5703125" style="3" customWidth="1"/>
    <col min="14093" max="14093" width="0" style="3" hidden="1" customWidth="1"/>
    <col min="14094" max="14094" width="9.140625" style="3"/>
    <col min="14095" max="14095" width="11.140625" style="3" bestFit="1" customWidth="1"/>
    <col min="14096" max="14333" width="9.140625" style="3"/>
    <col min="14334" max="14334" width="6.85546875" style="3" customWidth="1"/>
    <col min="14335" max="14335" width="14.7109375" style="3" customWidth="1"/>
    <col min="14336" max="14336" width="5.28515625" style="3" customWidth="1"/>
    <col min="14337" max="14337" width="59" style="3" customWidth="1"/>
    <col min="14338" max="14338" width="13.28515625" style="3" customWidth="1"/>
    <col min="14339" max="14339" width="14.140625" style="3" customWidth="1"/>
    <col min="14340" max="14340" width="13.5703125" style="3" customWidth="1"/>
    <col min="14341" max="14345" width="0" style="3" hidden="1" customWidth="1"/>
    <col min="14346" max="14346" width="13.28515625" style="3" customWidth="1"/>
    <col min="14347" max="14347" width="14.140625" style="3" customWidth="1"/>
    <col min="14348" max="14348" width="13.5703125" style="3" customWidth="1"/>
    <col min="14349" max="14349" width="0" style="3" hidden="1" customWidth="1"/>
    <col min="14350" max="14350" width="9.140625" style="3"/>
    <col min="14351" max="14351" width="11.140625" style="3" bestFit="1" customWidth="1"/>
    <col min="14352" max="14589" width="9.140625" style="3"/>
    <col min="14590" max="14590" width="6.85546875" style="3" customWidth="1"/>
    <col min="14591" max="14591" width="14.7109375" style="3" customWidth="1"/>
    <col min="14592" max="14592" width="5.28515625" style="3" customWidth="1"/>
    <col min="14593" max="14593" width="59" style="3" customWidth="1"/>
    <col min="14594" max="14594" width="13.28515625" style="3" customWidth="1"/>
    <col min="14595" max="14595" width="14.140625" style="3" customWidth="1"/>
    <col min="14596" max="14596" width="13.5703125" style="3" customWidth="1"/>
    <col min="14597" max="14601" width="0" style="3" hidden="1" customWidth="1"/>
    <col min="14602" max="14602" width="13.28515625" style="3" customWidth="1"/>
    <col min="14603" max="14603" width="14.140625" style="3" customWidth="1"/>
    <col min="14604" max="14604" width="13.5703125" style="3" customWidth="1"/>
    <col min="14605" max="14605" width="0" style="3" hidden="1" customWidth="1"/>
    <col min="14606" max="14606" width="9.140625" style="3"/>
    <col min="14607" max="14607" width="11.140625" style="3" bestFit="1" customWidth="1"/>
    <col min="14608" max="14845" width="9.140625" style="3"/>
    <col min="14846" max="14846" width="6.85546875" style="3" customWidth="1"/>
    <col min="14847" max="14847" width="14.7109375" style="3" customWidth="1"/>
    <col min="14848" max="14848" width="5.28515625" style="3" customWidth="1"/>
    <col min="14849" max="14849" width="59" style="3" customWidth="1"/>
    <col min="14850" max="14850" width="13.28515625" style="3" customWidth="1"/>
    <col min="14851" max="14851" width="14.140625" style="3" customWidth="1"/>
    <col min="14852" max="14852" width="13.5703125" style="3" customWidth="1"/>
    <col min="14853" max="14857" width="0" style="3" hidden="1" customWidth="1"/>
    <col min="14858" max="14858" width="13.28515625" style="3" customWidth="1"/>
    <col min="14859" max="14859" width="14.140625" style="3" customWidth="1"/>
    <col min="14860" max="14860" width="13.5703125" style="3" customWidth="1"/>
    <col min="14861" max="14861" width="0" style="3" hidden="1" customWidth="1"/>
    <col min="14862" max="14862" width="9.140625" style="3"/>
    <col min="14863" max="14863" width="11.140625" style="3" bestFit="1" customWidth="1"/>
    <col min="14864" max="15101" width="9.140625" style="3"/>
    <col min="15102" max="15102" width="6.85546875" style="3" customWidth="1"/>
    <col min="15103" max="15103" width="14.7109375" style="3" customWidth="1"/>
    <col min="15104" max="15104" width="5.28515625" style="3" customWidth="1"/>
    <col min="15105" max="15105" width="59" style="3" customWidth="1"/>
    <col min="15106" max="15106" width="13.28515625" style="3" customWidth="1"/>
    <col min="15107" max="15107" width="14.140625" style="3" customWidth="1"/>
    <col min="15108" max="15108" width="13.5703125" style="3" customWidth="1"/>
    <col min="15109" max="15113" width="0" style="3" hidden="1" customWidth="1"/>
    <col min="15114" max="15114" width="13.28515625" style="3" customWidth="1"/>
    <col min="15115" max="15115" width="14.140625" style="3" customWidth="1"/>
    <col min="15116" max="15116" width="13.5703125" style="3" customWidth="1"/>
    <col min="15117" max="15117" width="0" style="3" hidden="1" customWidth="1"/>
    <col min="15118" max="15118" width="9.140625" style="3"/>
    <col min="15119" max="15119" width="11.140625" style="3" bestFit="1" customWidth="1"/>
    <col min="15120" max="15357" width="9.140625" style="3"/>
    <col min="15358" max="15358" width="6.85546875" style="3" customWidth="1"/>
    <col min="15359" max="15359" width="14.7109375" style="3" customWidth="1"/>
    <col min="15360" max="15360" width="5.28515625" style="3" customWidth="1"/>
    <col min="15361" max="15361" width="59" style="3" customWidth="1"/>
    <col min="15362" max="15362" width="13.28515625" style="3" customWidth="1"/>
    <col min="15363" max="15363" width="14.140625" style="3" customWidth="1"/>
    <col min="15364" max="15364" width="13.5703125" style="3" customWidth="1"/>
    <col min="15365" max="15369" width="0" style="3" hidden="1" customWidth="1"/>
    <col min="15370" max="15370" width="13.28515625" style="3" customWidth="1"/>
    <col min="15371" max="15371" width="14.140625" style="3" customWidth="1"/>
    <col min="15372" max="15372" width="13.5703125" style="3" customWidth="1"/>
    <col min="15373" max="15373" width="0" style="3" hidden="1" customWidth="1"/>
    <col min="15374" max="15374" width="9.140625" style="3"/>
    <col min="15375" max="15375" width="11.140625" style="3" bestFit="1" customWidth="1"/>
    <col min="15376" max="15613" width="9.140625" style="3"/>
    <col min="15614" max="15614" width="6.85546875" style="3" customWidth="1"/>
    <col min="15615" max="15615" width="14.7109375" style="3" customWidth="1"/>
    <col min="15616" max="15616" width="5.28515625" style="3" customWidth="1"/>
    <col min="15617" max="15617" width="59" style="3" customWidth="1"/>
    <col min="15618" max="15618" width="13.28515625" style="3" customWidth="1"/>
    <col min="15619" max="15619" width="14.140625" style="3" customWidth="1"/>
    <col min="15620" max="15620" width="13.5703125" style="3" customWidth="1"/>
    <col min="15621" max="15625" width="0" style="3" hidden="1" customWidth="1"/>
    <col min="15626" max="15626" width="13.28515625" style="3" customWidth="1"/>
    <col min="15627" max="15627" width="14.140625" style="3" customWidth="1"/>
    <col min="15628" max="15628" width="13.5703125" style="3" customWidth="1"/>
    <col min="15629" max="15629" width="0" style="3" hidden="1" customWidth="1"/>
    <col min="15630" max="15630" width="9.140625" style="3"/>
    <col min="15631" max="15631" width="11.140625" style="3" bestFit="1" customWidth="1"/>
    <col min="15632" max="15869" width="9.140625" style="3"/>
    <col min="15870" max="15870" width="6.85546875" style="3" customWidth="1"/>
    <col min="15871" max="15871" width="14.7109375" style="3" customWidth="1"/>
    <col min="15872" max="15872" width="5.28515625" style="3" customWidth="1"/>
    <col min="15873" max="15873" width="59" style="3" customWidth="1"/>
    <col min="15874" max="15874" width="13.28515625" style="3" customWidth="1"/>
    <col min="15875" max="15875" width="14.140625" style="3" customWidth="1"/>
    <col min="15876" max="15876" width="13.5703125" style="3" customWidth="1"/>
    <col min="15877" max="15881" width="0" style="3" hidden="1" customWidth="1"/>
    <col min="15882" max="15882" width="13.28515625" style="3" customWidth="1"/>
    <col min="15883" max="15883" width="14.140625" style="3" customWidth="1"/>
    <col min="15884" max="15884" width="13.5703125" style="3" customWidth="1"/>
    <col min="15885" max="15885" width="0" style="3" hidden="1" customWidth="1"/>
    <col min="15886" max="15886" width="9.140625" style="3"/>
    <col min="15887" max="15887" width="11.140625" style="3" bestFit="1" customWidth="1"/>
    <col min="15888" max="16125" width="9.140625" style="3"/>
    <col min="16126" max="16126" width="6.85546875" style="3" customWidth="1"/>
    <col min="16127" max="16127" width="14.7109375" style="3" customWidth="1"/>
    <col min="16128" max="16128" width="5.28515625" style="3" customWidth="1"/>
    <col min="16129" max="16129" width="59" style="3" customWidth="1"/>
    <col min="16130" max="16130" width="13.28515625" style="3" customWidth="1"/>
    <col min="16131" max="16131" width="14.140625" style="3" customWidth="1"/>
    <col min="16132" max="16132" width="13.5703125" style="3" customWidth="1"/>
    <col min="16133" max="16137" width="0" style="3" hidden="1" customWidth="1"/>
    <col min="16138" max="16138" width="13.28515625" style="3" customWidth="1"/>
    <col min="16139" max="16139" width="14.140625" style="3" customWidth="1"/>
    <col min="16140" max="16140" width="13.5703125" style="3" customWidth="1"/>
    <col min="16141" max="16141" width="0" style="3" hidden="1" customWidth="1"/>
    <col min="16142" max="16142" width="9.140625" style="3"/>
    <col min="16143" max="16143" width="11.140625" style="3" bestFit="1" customWidth="1"/>
    <col min="16144" max="16384" width="9.140625" style="3"/>
  </cols>
  <sheetData>
    <row r="1" spans="1:13" ht="16.5" x14ac:dyDescent="0.25">
      <c r="D1" s="58" t="s">
        <v>0</v>
      </c>
      <c r="E1" s="2"/>
      <c r="F1" s="2"/>
      <c r="G1" s="2"/>
      <c r="H1" s="2"/>
      <c r="I1" s="2"/>
      <c r="J1" s="2"/>
      <c r="K1" s="2"/>
      <c r="L1" s="2"/>
      <c r="M1" s="2"/>
    </row>
    <row r="2" spans="1:13" ht="16.5" x14ac:dyDescent="0.25">
      <c r="D2" s="58" t="s">
        <v>1</v>
      </c>
      <c r="E2" s="2"/>
      <c r="F2" s="2"/>
      <c r="G2" s="2"/>
      <c r="H2" s="2"/>
      <c r="I2" s="2"/>
      <c r="J2" s="2"/>
      <c r="K2" s="2"/>
      <c r="L2" s="2"/>
      <c r="M2" s="2"/>
    </row>
    <row r="3" spans="1:13" ht="16.5" x14ac:dyDescent="0.25">
      <c r="D3" s="58" t="s">
        <v>2</v>
      </c>
      <c r="E3" s="2"/>
      <c r="F3" s="2"/>
      <c r="G3" s="2"/>
      <c r="H3" s="2"/>
      <c r="I3" s="2"/>
      <c r="J3" s="2"/>
      <c r="K3" s="2"/>
      <c r="L3" s="2"/>
      <c r="M3" s="2"/>
    </row>
    <row r="4" spans="1:13" ht="16.5" x14ac:dyDescent="0.25">
      <c r="D4" s="58"/>
      <c r="E4" s="72"/>
      <c r="F4" s="72"/>
      <c r="G4" s="72"/>
      <c r="H4" s="72"/>
      <c r="I4" s="72"/>
      <c r="J4" s="72"/>
      <c r="K4" s="72"/>
      <c r="L4" s="72"/>
      <c r="M4" s="58"/>
    </row>
    <row r="5" spans="1:13" ht="16.5" x14ac:dyDescent="0.25"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16.5" x14ac:dyDescent="0.25">
      <c r="A6" s="73" t="s">
        <v>3</v>
      </c>
      <c r="B6" s="73"/>
      <c r="C6" s="73"/>
      <c r="D6" s="73"/>
      <c r="E6" s="73"/>
      <c r="F6" s="73"/>
      <c r="G6" s="73"/>
      <c r="H6" s="73"/>
      <c r="I6" s="3"/>
      <c r="J6" s="3"/>
      <c r="K6" s="3"/>
      <c r="L6" s="3"/>
      <c r="M6" s="3"/>
    </row>
    <row r="7" spans="1:13" ht="16.5" x14ac:dyDescent="0.25">
      <c r="A7" s="73" t="s">
        <v>242</v>
      </c>
      <c r="B7" s="73"/>
      <c r="C7" s="73"/>
      <c r="D7" s="73"/>
      <c r="E7" s="73"/>
      <c r="F7" s="73"/>
      <c r="G7" s="73"/>
      <c r="H7" s="73"/>
      <c r="I7" s="3"/>
      <c r="J7" s="3"/>
      <c r="K7" s="3"/>
      <c r="L7" s="3"/>
      <c r="M7" s="3"/>
    </row>
    <row r="8" spans="1:13" s="5" customFormat="1" ht="16.5" x14ac:dyDescent="0.25">
      <c r="A8" s="73" t="s">
        <v>4</v>
      </c>
      <c r="B8" s="73"/>
      <c r="C8" s="73"/>
      <c r="D8" s="73"/>
      <c r="E8" s="73"/>
      <c r="F8" s="73"/>
      <c r="G8" s="73"/>
      <c r="H8" s="73"/>
    </row>
    <row r="9" spans="1:13" s="5" customFormat="1" ht="16.5" x14ac:dyDescent="0.25">
      <c r="A9" s="73" t="s">
        <v>243</v>
      </c>
      <c r="B9" s="73"/>
      <c r="C9" s="73"/>
      <c r="D9" s="73"/>
      <c r="E9" s="73"/>
      <c r="F9" s="73"/>
      <c r="G9" s="73"/>
      <c r="H9" s="73"/>
    </row>
    <row r="10" spans="1:13" s="5" customFormat="1" ht="16.5" x14ac:dyDescent="0.25">
      <c r="A10" s="59"/>
      <c r="B10" s="59"/>
      <c r="C10" s="59"/>
      <c r="D10" s="59"/>
      <c r="E10" s="59"/>
      <c r="F10" s="59"/>
      <c r="G10" s="82" t="s">
        <v>241</v>
      </c>
      <c r="H10" s="82"/>
    </row>
    <row r="11" spans="1:13" ht="16.5" customHeight="1" x14ac:dyDescent="0.25">
      <c r="A11" s="77" t="s">
        <v>5</v>
      </c>
      <c r="B11" s="77"/>
      <c r="C11" s="77"/>
      <c r="D11" s="78" t="s">
        <v>6</v>
      </c>
      <c r="E11" s="74" t="s">
        <v>7</v>
      </c>
      <c r="F11" s="79" t="s">
        <v>8</v>
      </c>
      <c r="G11" s="80"/>
      <c r="H11" s="81"/>
      <c r="I11" s="74" t="s">
        <v>7</v>
      </c>
      <c r="J11" s="79" t="s">
        <v>8</v>
      </c>
      <c r="K11" s="80"/>
      <c r="L11" s="81"/>
      <c r="M11" s="57"/>
    </row>
    <row r="12" spans="1:13" ht="15.75" customHeight="1" x14ac:dyDescent="0.25">
      <c r="A12" s="78" t="s">
        <v>9</v>
      </c>
      <c r="B12" s="78" t="s">
        <v>10</v>
      </c>
      <c r="C12" s="78" t="s">
        <v>11</v>
      </c>
      <c r="D12" s="78"/>
      <c r="E12" s="74"/>
      <c r="F12" s="74" t="s">
        <v>12</v>
      </c>
      <c r="G12" s="74" t="s">
        <v>13</v>
      </c>
      <c r="H12" s="75" t="s">
        <v>14</v>
      </c>
      <c r="I12" s="74"/>
      <c r="J12" s="74" t="s">
        <v>12</v>
      </c>
      <c r="K12" s="74" t="s">
        <v>13</v>
      </c>
      <c r="L12" s="84" t="s">
        <v>14</v>
      </c>
      <c r="M12" s="74" t="s">
        <v>14</v>
      </c>
    </row>
    <row r="13" spans="1:13" ht="91.5" customHeight="1" x14ac:dyDescent="0.25">
      <c r="A13" s="78"/>
      <c r="B13" s="78"/>
      <c r="C13" s="78"/>
      <c r="D13" s="78"/>
      <c r="E13" s="74"/>
      <c r="F13" s="74"/>
      <c r="G13" s="74"/>
      <c r="H13" s="76"/>
      <c r="I13" s="74"/>
      <c r="J13" s="74"/>
      <c r="K13" s="74"/>
      <c r="L13" s="84"/>
      <c r="M13" s="74"/>
    </row>
    <row r="14" spans="1:13" ht="16.5" x14ac:dyDescent="0.25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5</v>
      </c>
      <c r="J14" s="6">
        <v>6</v>
      </c>
      <c r="K14" s="6">
        <v>7</v>
      </c>
      <c r="L14" s="6">
        <v>8</v>
      </c>
      <c r="M14" s="6">
        <v>8</v>
      </c>
    </row>
    <row r="15" spans="1:13" s="8" customFormat="1" ht="19.5" customHeight="1" x14ac:dyDescent="0.25">
      <c r="A15" s="83" t="s">
        <v>15</v>
      </c>
      <c r="B15" s="83"/>
      <c r="C15" s="83"/>
      <c r="D15" s="83"/>
      <c r="E15" s="7">
        <f>SUM(E55+E16)</f>
        <v>2596629.5</v>
      </c>
      <c r="F15" s="7">
        <f>SUM(F55+F16)</f>
        <v>802481.60000000009</v>
      </c>
      <c r="G15" s="7">
        <f>SUM(G55+G16)</f>
        <v>1794147.9000000001</v>
      </c>
      <c r="H15" s="7"/>
      <c r="I15" s="7">
        <f>SUM(I55+I16)</f>
        <v>2766899.0244</v>
      </c>
      <c r="J15" s="7">
        <f>SUM(J55+J16)</f>
        <v>902658.32439999992</v>
      </c>
      <c r="K15" s="7">
        <f>SUM(K55+K16)</f>
        <v>1864240.7</v>
      </c>
      <c r="L15" s="7"/>
      <c r="M15" s="7"/>
    </row>
    <row r="16" spans="1:13" s="8" customFormat="1" ht="21" customHeight="1" x14ac:dyDescent="0.25">
      <c r="A16" s="85" t="s">
        <v>16</v>
      </c>
      <c r="B16" s="85"/>
      <c r="C16" s="85"/>
      <c r="D16" s="85"/>
      <c r="E16" s="7">
        <f t="shared" ref="E16:E80" si="0">F16+G16</f>
        <v>221234.8</v>
      </c>
      <c r="F16" s="7">
        <f>F17+F21+F43+F51+F37+F48</f>
        <v>37854.799999999996</v>
      </c>
      <c r="G16" s="7">
        <f>G17+G21+G43+G51+G48</f>
        <v>183380</v>
      </c>
      <c r="H16" s="7"/>
      <c r="I16" s="7">
        <f>J16+K16</f>
        <v>229823.90000000002</v>
      </c>
      <c r="J16" s="7">
        <f>J17+J21+J43+J51+J37+J48</f>
        <v>39921.399999999994</v>
      </c>
      <c r="K16" s="7">
        <f>K17+K21+K43+K51+K48</f>
        <v>189902.50000000003</v>
      </c>
      <c r="L16" s="7"/>
      <c r="M16" s="7"/>
    </row>
    <row r="17" spans="1:13" s="8" customFormat="1" ht="21.75" customHeight="1" x14ac:dyDescent="0.25">
      <c r="A17" s="9" t="s">
        <v>17</v>
      </c>
      <c r="B17" s="9"/>
      <c r="C17" s="60"/>
      <c r="D17" s="62" t="s">
        <v>18</v>
      </c>
      <c r="E17" s="10">
        <f>F17+G17+H17</f>
        <v>10127.1</v>
      </c>
      <c r="F17" s="7">
        <f>F18</f>
        <v>10127.1</v>
      </c>
      <c r="G17" s="7"/>
      <c r="H17" s="7"/>
      <c r="I17" s="10">
        <f>J17+K17+L17</f>
        <v>11634.8</v>
      </c>
      <c r="J17" s="7">
        <f>J18</f>
        <v>11634.8</v>
      </c>
      <c r="K17" s="7"/>
      <c r="L17" s="7"/>
      <c r="M17" s="7"/>
    </row>
    <row r="18" spans="1:13" s="8" customFormat="1" ht="21.75" customHeight="1" x14ac:dyDescent="0.25">
      <c r="A18" s="11" t="s">
        <v>19</v>
      </c>
      <c r="B18" s="12"/>
      <c r="C18" s="12"/>
      <c r="D18" s="13" t="s">
        <v>20</v>
      </c>
      <c r="E18" s="10">
        <f>F18+G18+H18</f>
        <v>10127.1</v>
      </c>
      <c r="F18" s="7">
        <f>F20+F19</f>
        <v>10127.1</v>
      </c>
      <c r="G18" s="7"/>
      <c r="H18" s="7"/>
      <c r="I18" s="10">
        <f>J18+K18+L18</f>
        <v>11634.8</v>
      </c>
      <c r="J18" s="7">
        <f>J20+J19</f>
        <v>11634.8</v>
      </c>
      <c r="K18" s="7"/>
      <c r="L18" s="7"/>
      <c r="M18" s="7"/>
    </row>
    <row r="19" spans="1:13" s="16" customFormat="1" ht="53.25" customHeight="1" x14ac:dyDescent="0.25">
      <c r="A19" s="67" t="s">
        <v>19</v>
      </c>
      <c r="B19" s="69" t="s">
        <v>21</v>
      </c>
      <c r="C19" s="69" t="s">
        <v>22</v>
      </c>
      <c r="D19" s="14" t="s">
        <v>23</v>
      </c>
      <c r="E19" s="15">
        <f>F19+G19+H19</f>
        <v>2674</v>
      </c>
      <c r="F19" s="15">
        <v>2674</v>
      </c>
      <c r="G19" s="15"/>
      <c r="H19" s="15"/>
      <c r="I19" s="15">
        <f>J19+K19+L19</f>
        <v>2674</v>
      </c>
      <c r="J19" s="15">
        <f>2816-142</f>
        <v>2674</v>
      </c>
      <c r="K19" s="15"/>
      <c r="L19" s="15"/>
      <c r="M19" s="15"/>
    </row>
    <row r="20" spans="1:13" s="8" customFormat="1" ht="51" customHeight="1" x14ac:dyDescent="0.25">
      <c r="A20" s="67" t="s">
        <v>19</v>
      </c>
      <c r="B20" s="69" t="s">
        <v>21</v>
      </c>
      <c r="C20" s="69">
        <v>400</v>
      </c>
      <c r="D20" s="68" t="s">
        <v>240</v>
      </c>
      <c r="E20" s="15">
        <f>F20+G20+H20</f>
        <v>7453.1</v>
      </c>
      <c r="F20" s="15">
        <v>7453.1</v>
      </c>
      <c r="G20" s="7"/>
      <c r="H20" s="7"/>
      <c r="I20" s="15">
        <f>J20+K20+L20</f>
        <v>8960.7999999999993</v>
      </c>
      <c r="J20" s="15">
        <f>7000+5000-2500-500-107.1+67.9</f>
        <v>8960.7999999999993</v>
      </c>
      <c r="K20" s="7"/>
      <c r="L20" s="7"/>
      <c r="M20" s="7"/>
    </row>
    <row r="21" spans="1:13" s="8" customFormat="1" ht="26.25" customHeight="1" x14ac:dyDescent="0.25">
      <c r="A21" s="9" t="s">
        <v>24</v>
      </c>
      <c r="B21" s="62"/>
      <c r="C21" s="62"/>
      <c r="D21" s="61" t="s">
        <v>25</v>
      </c>
      <c r="E21" s="7">
        <f t="shared" si="0"/>
        <v>65780</v>
      </c>
      <c r="F21" s="7">
        <f>F28+F22</f>
        <v>2458.6999999999998</v>
      </c>
      <c r="G21" s="7">
        <f>G28+G22</f>
        <v>63321.299999999996</v>
      </c>
      <c r="H21" s="7"/>
      <c r="I21" s="7">
        <f>J21+K21</f>
        <v>72886.600000000006</v>
      </c>
      <c r="J21" s="7">
        <f>J28+J22</f>
        <v>3042.8</v>
      </c>
      <c r="K21" s="7">
        <f>K28+K22</f>
        <v>69843.8</v>
      </c>
      <c r="L21" s="7"/>
      <c r="M21" s="7"/>
    </row>
    <row r="22" spans="1:13" s="8" customFormat="1" ht="24" customHeight="1" x14ac:dyDescent="0.25">
      <c r="A22" s="9" t="s">
        <v>26</v>
      </c>
      <c r="B22" s="9"/>
      <c r="C22" s="9"/>
      <c r="D22" s="61" t="s">
        <v>27</v>
      </c>
      <c r="E22" s="7">
        <f>F22+G22</f>
        <v>9418.6999999999989</v>
      </c>
      <c r="F22" s="7">
        <f>F23+F24+F25+F27+F26</f>
        <v>1415.9999999999998</v>
      </c>
      <c r="G22" s="7">
        <f>G23+G24+G25+G27+G26</f>
        <v>8002.7</v>
      </c>
      <c r="H22" s="7"/>
      <c r="I22" s="7">
        <f>J22+K22</f>
        <v>10370.4</v>
      </c>
      <c r="J22" s="7">
        <f>J23+J24+J25+J27+J26</f>
        <v>1577.1000000000001</v>
      </c>
      <c r="K22" s="7">
        <f>K23+K24+K25+K27+K26</f>
        <v>8793.2999999999993</v>
      </c>
      <c r="L22" s="7"/>
      <c r="M22" s="7"/>
    </row>
    <row r="23" spans="1:13" s="16" customFormat="1" ht="27" customHeight="1" x14ac:dyDescent="0.25">
      <c r="A23" s="69" t="s">
        <v>26</v>
      </c>
      <c r="B23" s="69" t="s">
        <v>28</v>
      </c>
      <c r="C23" s="69" t="s">
        <v>29</v>
      </c>
      <c r="D23" s="68" t="s">
        <v>30</v>
      </c>
      <c r="E23" s="15">
        <f>F23</f>
        <v>244</v>
      </c>
      <c r="F23" s="15">
        <v>244</v>
      </c>
      <c r="G23" s="15"/>
      <c r="H23" s="15"/>
      <c r="I23" s="15">
        <f>J23</f>
        <v>298.7</v>
      </c>
      <c r="J23" s="15">
        <f>300-1.3</f>
        <v>298.7</v>
      </c>
      <c r="K23" s="15"/>
      <c r="L23" s="15"/>
      <c r="M23" s="15"/>
    </row>
    <row r="24" spans="1:13" s="16" customFormat="1" ht="26.25" customHeight="1" x14ac:dyDescent="0.25">
      <c r="A24" s="69" t="s">
        <v>26</v>
      </c>
      <c r="B24" s="69" t="s">
        <v>28</v>
      </c>
      <c r="C24" s="69" t="s">
        <v>29</v>
      </c>
      <c r="D24" s="68" t="s">
        <v>31</v>
      </c>
      <c r="E24" s="15">
        <f>F24</f>
        <v>281.39999999999998</v>
      </c>
      <c r="F24" s="15">
        <v>281.39999999999998</v>
      </c>
      <c r="G24" s="15"/>
      <c r="H24" s="15"/>
      <c r="I24" s="15">
        <f>J24</f>
        <v>300</v>
      </c>
      <c r="J24" s="15">
        <v>300</v>
      </c>
      <c r="K24" s="15"/>
      <c r="L24" s="15"/>
      <c r="M24" s="15"/>
    </row>
    <row r="25" spans="1:13" s="16" customFormat="1" ht="31.5" customHeight="1" x14ac:dyDescent="0.25">
      <c r="A25" s="86" t="s">
        <v>26</v>
      </c>
      <c r="B25" s="69" t="s">
        <v>32</v>
      </c>
      <c r="C25" s="86" t="s">
        <v>29</v>
      </c>
      <c r="D25" s="88" t="s">
        <v>33</v>
      </c>
      <c r="E25" s="15">
        <f>F25</f>
        <v>889.3</v>
      </c>
      <c r="F25" s="15">
        <v>889.3</v>
      </c>
      <c r="G25" s="15"/>
      <c r="H25" s="15"/>
      <c r="I25" s="15">
        <f>J25</f>
        <v>977.1</v>
      </c>
      <c r="J25" s="15">
        <v>977.1</v>
      </c>
      <c r="K25" s="15"/>
      <c r="L25" s="15"/>
      <c r="M25" s="15"/>
    </row>
    <row r="26" spans="1:13" s="16" customFormat="1" ht="30" customHeight="1" x14ac:dyDescent="0.25">
      <c r="A26" s="87"/>
      <c r="B26" s="69" t="s">
        <v>34</v>
      </c>
      <c r="C26" s="87"/>
      <c r="D26" s="89"/>
      <c r="E26" s="15">
        <f>F26+G26</f>
        <v>8002.7</v>
      </c>
      <c r="F26" s="15"/>
      <c r="G26" s="15">
        <v>8002.7</v>
      </c>
      <c r="H26" s="15"/>
      <c r="I26" s="15">
        <f t="shared" ref="I26:I39" si="1">J26+K26</f>
        <v>8793.2999999999993</v>
      </c>
      <c r="J26" s="15"/>
      <c r="K26" s="15">
        <v>8793.2999999999993</v>
      </c>
      <c r="L26" s="15"/>
      <c r="M26" s="15"/>
    </row>
    <row r="27" spans="1:13" s="16" customFormat="1" ht="38.25" customHeight="1" x14ac:dyDescent="0.25">
      <c r="A27" s="64" t="s">
        <v>26</v>
      </c>
      <c r="B27" s="69" t="s">
        <v>28</v>
      </c>
      <c r="C27" s="64" t="s">
        <v>29</v>
      </c>
      <c r="D27" s="65" t="s">
        <v>35</v>
      </c>
      <c r="E27" s="15">
        <f>F27+G27</f>
        <v>1.3</v>
      </c>
      <c r="F27" s="15">
        <v>1.3</v>
      </c>
      <c r="G27" s="15"/>
      <c r="H27" s="15"/>
      <c r="I27" s="15">
        <f t="shared" si="1"/>
        <v>1.3</v>
      </c>
      <c r="J27" s="15">
        <v>1.3</v>
      </c>
      <c r="K27" s="15"/>
      <c r="L27" s="15"/>
      <c r="M27" s="15"/>
    </row>
    <row r="28" spans="1:13" s="8" customFormat="1" ht="26.25" customHeight="1" x14ac:dyDescent="0.25">
      <c r="A28" s="9" t="s">
        <v>36</v>
      </c>
      <c r="B28" s="9"/>
      <c r="C28" s="9"/>
      <c r="D28" s="61" t="s">
        <v>37</v>
      </c>
      <c r="E28" s="7">
        <f t="shared" si="0"/>
        <v>56361.299999999996</v>
      </c>
      <c r="F28" s="7">
        <f>SUM(F29:F36)</f>
        <v>1042.7</v>
      </c>
      <c r="G28" s="7">
        <f>SUM(G29:G36)</f>
        <v>55318.6</v>
      </c>
      <c r="H28" s="7"/>
      <c r="I28" s="7">
        <f t="shared" si="1"/>
        <v>62516.2</v>
      </c>
      <c r="J28" s="7">
        <f>SUM(J29:J36)</f>
        <v>1465.7</v>
      </c>
      <c r="K28" s="7">
        <f>SUM(K29:K36)</f>
        <v>61050.5</v>
      </c>
      <c r="L28" s="7"/>
      <c r="M28" s="7"/>
    </row>
    <row r="29" spans="1:13" s="8" customFormat="1" ht="31.5" customHeight="1" x14ac:dyDescent="0.25">
      <c r="A29" s="67" t="s">
        <v>36</v>
      </c>
      <c r="B29" s="69" t="s">
        <v>38</v>
      </c>
      <c r="C29" s="67" t="s">
        <v>22</v>
      </c>
      <c r="D29" s="68" t="s">
        <v>39</v>
      </c>
      <c r="E29" s="15">
        <f t="shared" si="0"/>
        <v>37404.9</v>
      </c>
      <c r="F29" s="7"/>
      <c r="G29" s="15">
        <v>37404.9</v>
      </c>
      <c r="H29" s="7"/>
      <c r="I29" s="15">
        <f t="shared" si="1"/>
        <v>38000</v>
      </c>
      <c r="J29" s="7"/>
      <c r="K29" s="15">
        <v>38000</v>
      </c>
      <c r="L29" s="7"/>
      <c r="M29" s="7"/>
    </row>
    <row r="30" spans="1:13" s="8" customFormat="1" ht="39" customHeight="1" x14ac:dyDescent="0.25">
      <c r="A30" s="67" t="s">
        <v>36</v>
      </c>
      <c r="B30" s="69" t="s">
        <v>40</v>
      </c>
      <c r="C30" s="67" t="s">
        <v>22</v>
      </c>
      <c r="D30" s="68" t="s">
        <v>41</v>
      </c>
      <c r="E30" s="15">
        <f t="shared" si="0"/>
        <v>7273.3</v>
      </c>
      <c r="F30" s="17">
        <v>363.7</v>
      </c>
      <c r="G30" s="17">
        <v>6909.6</v>
      </c>
      <c r="H30" s="7"/>
      <c r="I30" s="15">
        <f t="shared" si="1"/>
        <v>7317.7</v>
      </c>
      <c r="J30" s="17">
        <f>366-2.3</f>
        <v>363.7</v>
      </c>
      <c r="K30" s="17">
        <v>6954</v>
      </c>
      <c r="L30" s="7"/>
      <c r="M30" s="7"/>
    </row>
    <row r="31" spans="1:13" s="18" customFormat="1" ht="39" customHeight="1" x14ac:dyDescent="0.25">
      <c r="A31" s="67" t="s">
        <v>36</v>
      </c>
      <c r="B31" s="69" t="s">
        <v>42</v>
      </c>
      <c r="C31" s="67" t="s">
        <v>22</v>
      </c>
      <c r="D31" s="68" t="s">
        <v>43</v>
      </c>
      <c r="E31" s="15">
        <f t="shared" si="0"/>
        <v>2596.7000000000003</v>
      </c>
      <c r="F31" s="17">
        <v>129.80000000000001</v>
      </c>
      <c r="G31" s="17">
        <v>2466.9</v>
      </c>
      <c r="H31" s="7"/>
      <c r="I31" s="15">
        <f t="shared" si="1"/>
        <v>4404.8</v>
      </c>
      <c r="J31" s="17">
        <f>225-95.2</f>
        <v>129.80000000000001</v>
      </c>
      <c r="K31" s="17">
        <v>4275</v>
      </c>
      <c r="L31" s="7"/>
      <c r="M31" s="7"/>
    </row>
    <row r="32" spans="1:13" s="18" customFormat="1" ht="39" customHeight="1" x14ac:dyDescent="0.25">
      <c r="A32" s="67" t="s">
        <v>36</v>
      </c>
      <c r="B32" s="69" t="s">
        <v>44</v>
      </c>
      <c r="C32" s="67" t="s">
        <v>22</v>
      </c>
      <c r="D32" s="68" t="s">
        <v>45</v>
      </c>
      <c r="E32" s="15">
        <f t="shared" si="0"/>
        <v>3930.1</v>
      </c>
      <c r="F32" s="17">
        <v>196.5</v>
      </c>
      <c r="G32" s="17">
        <v>3733.6</v>
      </c>
      <c r="H32" s="7"/>
      <c r="I32" s="15">
        <f t="shared" si="1"/>
        <v>4300.5</v>
      </c>
      <c r="J32" s="17">
        <f>235-20</f>
        <v>215</v>
      </c>
      <c r="K32" s="17">
        <f>4465-379.5</f>
        <v>4085.5</v>
      </c>
      <c r="L32" s="7"/>
      <c r="M32" s="7"/>
    </row>
    <row r="33" spans="1:13" s="18" customFormat="1" ht="39" customHeight="1" x14ac:dyDescent="0.25">
      <c r="A33" s="67" t="s">
        <v>36</v>
      </c>
      <c r="B33" s="69" t="s">
        <v>46</v>
      </c>
      <c r="C33" s="67" t="s">
        <v>29</v>
      </c>
      <c r="D33" s="68" t="s">
        <v>47</v>
      </c>
      <c r="E33" s="15">
        <f t="shared" si="0"/>
        <v>1320.2</v>
      </c>
      <c r="F33" s="17">
        <v>66</v>
      </c>
      <c r="G33" s="17">
        <v>1254.2</v>
      </c>
      <c r="H33" s="7"/>
      <c r="I33" s="15">
        <f t="shared" si="1"/>
        <v>3435.8</v>
      </c>
      <c r="J33" s="17">
        <v>171.8</v>
      </c>
      <c r="K33" s="17">
        <v>3264</v>
      </c>
      <c r="L33" s="7"/>
      <c r="M33" s="7"/>
    </row>
    <row r="34" spans="1:13" s="18" customFormat="1" ht="39" customHeight="1" x14ac:dyDescent="0.25">
      <c r="A34" s="67" t="s">
        <v>36</v>
      </c>
      <c r="B34" s="69" t="s">
        <v>48</v>
      </c>
      <c r="C34" s="67" t="s">
        <v>29</v>
      </c>
      <c r="D34" s="68" t="s">
        <v>49</v>
      </c>
      <c r="E34" s="15">
        <f t="shared" si="0"/>
        <v>2764.7999999999997</v>
      </c>
      <c r="F34" s="17">
        <v>138.19999999999999</v>
      </c>
      <c r="G34" s="17">
        <v>2626.6</v>
      </c>
      <c r="H34" s="7"/>
      <c r="I34" s="15">
        <f t="shared" si="1"/>
        <v>3434.7</v>
      </c>
      <c r="J34" s="17">
        <v>171.7</v>
      </c>
      <c r="K34" s="17">
        <v>3263</v>
      </c>
      <c r="L34" s="7"/>
      <c r="M34" s="7"/>
    </row>
    <row r="35" spans="1:13" s="18" customFormat="1" ht="39" customHeight="1" x14ac:dyDescent="0.25">
      <c r="A35" s="67" t="s">
        <v>36</v>
      </c>
      <c r="B35" s="69" t="s">
        <v>50</v>
      </c>
      <c r="C35" s="67" t="s">
        <v>29</v>
      </c>
      <c r="D35" s="68" t="s">
        <v>51</v>
      </c>
      <c r="E35" s="15">
        <f t="shared" si="0"/>
        <v>971.4</v>
      </c>
      <c r="F35" s="17">
        <v>48.6</v>
      </c>
      <c r="G35" s="17">
        <v>922.8</v>
      </c>
      <c r="H35" s="7"/>
      <c r="I35" s="15">
        <f t="shared" si="1"/>
        <v>1272.7</v>
      </c>
      <c r="J35" s="17">
        <v>63.7</v>
      </c>
      <c r="K35" s="17">
        <v>1209</v>
      </c>
      <c r="L35" s="7"/>
      <c r="M35" s="7"/>
    </row>
    <row r="36" spans="1:13" s="18" customFormat="1" ht="35.25" customHeight="1" x14ac:dyDescent="0.25">
      <c r="A36" s="67" t="s">
        <v>36</v>
      </c>
      <c r="B36" s="69" t="s">
        <v>52</v>
      </c>
      <c r="C36" s="67" t="s">
        <v>29</v>
      </c>
      <c r="D36" s="68" t="s">
        <v>53</v>
      </c>
      <c r="E36" s="15">
        <f t="shared" si="0"/>
        <v>99.9</v>
      </c>
      <c r="F36" s="15">
        <v>99.9</v>
      </c>
      <c r="G36" s="15"/>
      <c r="H36" s="7"/>
      <c r="I36" s="15">
        <f t="shared" si="1"/>
        <v>350</v>
      </c>
      <c r="J36" s="15">
        <f>100+250</f>
        <v>350</v>
      </c>
      <c r="K36" s="15"/>
      <c r="L36" s="7"/>
      <c r="M36" s="7"/>
    </row>
    <row r="37" spans="1:13" s="18" customFormat="1" ht="22.5" customHeight="1" x14ac:dyDescent="0.25">
      <c r="A37" s="9" t="s">
        <v>54</v>
      </c>
      <c r="B37" s="9"/>
      <c r="C37" s="9"/>
      <c r="D37" s="61" t="s">
        <v>55</v>
      </c>
      <c r="E37" s="7">
        <f>F37+G37</f>
        <v>5990.2</v>
      </c>
      <c r="F37" s="7">
        <f>F38+F41</f>
        <v>5990.2</v>
      </c>
      <c r="G37" s="7"/>
      <c r="H37" s="7"/>
      <c r="I37" s="7">
        <f t="shared" si="1"/>
        <v>5991.7</v>
      </c>
      <c r="J37" s="7">
        <f>J38+J41</f>
        <v>5991.7</v>
      </c>
      <c r="K37" s="7"/>
      <c r="L37" s="7"/>
      <c r="M37" s="7"/>
    </row>
    <row r="38" spans="1:13" s="18" customFormat="1" ht="22.5" customHeight="1" x14ac:dyDescent="0.25">
      <c r="A38" s="9" t="s">
        <v>56</v>
      </c>
      <c r="B38" s="9"/>
      <c r="C38" s="9"/>
      <c r="D38" s="19" t="s">
        <v>57</v>
      </c>
      <c r="E38" s="7">
        <f t="shared" si="0"/>
        <v>2074.5</v>
      </c>
      <c r="F38" s="7">
        <f>F39+F40</f>
        <v>2074.5</v>
      </c>
      <c r="G38" s="7"/>
      <c r="H38" s="7"/>
      <c r="I38" s="7">
        <f t="shared" si="1"/>
        <v>2076</v>
      </c>
      <c r="J38" s="7">
        <f>J39+J40</f>
        <v>2076</v>
      </c>
      <c r="K38" s="7"/>
      <c r="L38" s="7"/>
      <c r="M38" s="7"/>
    </row>
    <row r="39" spans="1:13" s="18" customFormat="1" ht="52.5" customHeight="1" x14ac:dyDescent="0.25">
      <c r="A39" s="69" t="s">
        <v>56</v>
      </c>
      <c r="B39" s="69" t="s">
        <v>58</v>
      </c>
      <c r="C39" s="69" t="s">
        <v>29</v>
      </c>
      <c r="D39" s="68" t="s">
        <v>59</v>
      </c>
      <c r="E39" s="15">
        <f>F39+G39</f>
        <v>1533.5</v>
      </c>
      <c r="F39" s="15">
        <v>1533.5</v>
      </c>
      <c r="G39" s="15"/>
      <c r="H39" s="7"/>
      <c r="I39" s="15">
        <f t="shared" si="1"/>
        <v>1534.6</v>
      </c>
      <c r="J39" s="15">
        <v>1534.6</v>
      </c>
      <c r="K39" s="15"/>
      <c r="L39" s="7"/>
      <c r="M39" s="7"/>
    </row>
    <row r="40" spans="1:13" s="18" customFormat="1" ht="39" customHeight="1" x14ac:dyDescent="0.25">
      <c r="A40" s="69" t="s">
        <v>56</v>
      </c>
      <c r="B40" s="69" t="s">
        <v>58</v>
      </c>
      <c r="C40" s="69" t="s">
        <v>29</v>
      </c>
      <c r="D40" s="68" t="s">
        <v>60</v>
      </c>
      <c r="E40" s="15">
        <f>F40</f>
        <v>541</v>
      </c>
      <c r="F40" s="15">
        <v>541</v>
      </c>
      <c r="G40" s="15"/>
      <c r="H40" s="7"/>
      <c r="I40" s="15">
        <f>J40</f>
        <v>541.4</v>
      </c>
      <c r="J40" s="15">
        <v>541.4</v>
      </c>
      <c r="K40" s="15"/>
      <c r="L40" s="7"/>
      <c r="M40" s="7"/>
    </row>
    <row r="41" spans="1:13" s="18" customFormat="1" ht="24" customHeight="1" x14ac:dyDescent="0.25">
      <c r="A41" s="9" t="s">
        <v>61</v>
      </c>
      <c r="B41" s="20"/>
      <c r="C41" s="69"/>
      <c r="D41" s="21" t="s">
        <v>62</v>
      </c>
      <c r="E41" s="7">
        <f>F41+G41</f>
        <v>3915.7</v>
      </c>
      <c r="F41" s="7">
        <f>F42</f>
        <v>3915.7</v>
      </c>
      <c r="G41" s="15"/>
      <c r="H41" s="15"/>
      <c r="I41" s="7">
        <f>J41+K41</f>
        <v>3915.7</v>
      </c>
      <c r="J41" s="7">
        <f>J42</f>
        <v>3915.7</v>
      </c>
      <c r="K41" s="15"/>
      <c r="L41" s="15"/>
      <c r="M41" s="15"/>
    </row>
    <row r="42" spans="1:13" s="18" customFormat="1" ht="35.25" customHeight="1" x14ac:dyDescent="0.25">
      <c r="A42" s="69" t="s">
        <v>61</v>
      </c>
      <c r="B42" s="69" t="s">
        <v>63</v>
      </c>
      <c r="C42" s="69" t="s">
        <v>29</v>
      </c>
      <c r="D42" s="68" t="s">
        <v>64</v>
      </c>
      <c r="E42" s="15">
        <f>F42+G42+H42</f>
        <v>3915.7</v>
      </c>
      <c r="F42" s="15">
        <v>3915.7</v>
      </c>
      <c r="G42" s="15"/>
      <c r="H42" s="15"/>
      <c r="I42" s="15">
        <f>J42+K42+L42</f>
        <v>3915.7</v>
      </c>
      <c r="J42" s="15">
        <f>3426-0.3+490</f>
        <v>3915.7</v>
      </c>
      <c r="K42" s="15"/>
      <c r="L42" s="15"/>
      <c r="M42" s="15"/>
    </row>
    <row r="43" spans="1:13" s="18" customFormat="1" ht="21.75" customHeight="1" x14ac:dyDescent="0.25">
      <c r="A43" s="9" t="s">
        <v>65</v>
      </c>
      <c r="B43" s="69"/>
      <c r="C43" s="69"/>
      <c r="D43" s="61" t="s">
        <v>66</v>
      </c>
      <c r="E43" s="7">
        <f t="shared" si="0"/>
        <v>10465.199999999999</v>
      </c>
      <c r="F43" s="7">
        <f>F44</f>
        <v>10465.199999999999</v>
      </c>
      <c r="G43" s="7"/>
      <c r="H43" s="7"/>
      <c r="I43" s="7">
        <f t="shared" ref="I43:I83" si="2">J43+K43</f>
        <v>10438.5</v>
      </c>
      <c r="J43" s="7">
        <f>J44</f>
        <v>10438.5</v>
      </c>
      <c r="K43" s="7"/>
      <c r="L43" s="7"/>
      <c r="M43" s="7"/>
    </row>
    <row r="44" spans="1:13" s="22" customFormat="1" ht="23.25" customHeight="1" x14ac:dyDescent="0.25">
      <c r="A44" s="9" t="s">
        <v>67</v>
      </c>
      <c r="B44" s="9"/>
      <c r="C44" s="9"/>
      <c r="D44" s="61" t="s">
        <v>68</v>
      </c>
      <c r="E44" s="7">
        <f t="shared" si="0"/>
        <v>10465.199999999999</v>
      </c>
      <c r="F44" s="7">
        <f>SUM(F45:F47)</f>
        <v>10465.199999999999</v>
      </c>
      <c r="G44" s="7"/>
      <c r="H44" s="7"/>
      <c r="I44" s="7">
        <f t="shared" si="2"/>
        <v>10438.5</v>
      </c>
      <c r="J44" s="7">
        <f>SUM(J45:J47)</f>
        <v>10438.5</v>
      </c>
      <c r="K44" s="7"/>
      <c r="L44" s="7"/>
      <c r="M44" s="7"/>
    </row>
    <row r="45" spans="1:13" s="22" customFormat="1" ht="59.25" customHeight="1" x14ac:dyDescent="0.25">
      <c r="A45" s="69" t="s">
        <v>67</v>
      </c>
      <c r="B45" s="69" t="s">
        <v>69</v>
      </c>
      <c r="C45" s="69" t="s">
        <v>29</v>
      </c>
      <c r="D45" s="23" t="s">
        <v>70</v>
      </c>
      <c r="E45" s="15">
        <f t="shared" si="0"/>
        <v>9575.7999999999993</v>
      </c>
      <c r="F45" s="15">
        <v>9575.7999999999993</v>
      </c>
      <c r="G45" s="7"/>
      <c r="H45" s="7"/>
      <c r="I45" s="15">
        <f t="shared" si="2"/>
        <v>9549.1</v>
      </c>
      <c r="J45" s="15">
        <f>9400+1000-1000+85.6+63.5</f>
        <v>9549.1</v>
      </c>
      <c r="K45" s="7"/>
      <c r="L45" s="7"/>
      <c r="M45" s="7"/>
    </row>
    <row r="46" spans="1:13" s="22" customFormat="1" ht="30.75" customHeight="1" x14ac:dyDescent="0.25">
      <c r="A46" s="69" t="s">
        <v>67</v>
      </c>
      <c r="B46" s="69" t="s">
        <v>69</v>
      </c>
      <c r="C46" s="69" t="s">
        <v>29</v>
      </c>
      <c r="D46" s="68" t="s">
        <v>53</v>
      </c>
      <c r="E46" s="15">
        <f t="shared" si="0"/>
        <v>109.6</v>
      </c>
      <c r="F46" s="15">
        <v>109.6</v>
      </c>
      <c r="G46" s="15"/>
      <c r="H46" s="15"/>
      <c r="I46" s="15">
        <f t="shared" si="2"/>
        <v>109.6</v>
      </c>
      <c r="J46" s="15">
        <f>100+23-13.4</f>
        <v>109.6</v>
      </c>
      <c r="K46" s="15"/>
      <c r="L46" s="15"/>
      <c r="M46" s="15"/>
    </row>
    <row r="47" spans="1:13" s="22" customFormat="1" ht="30.75" customHeight="1" x14ac:dyDescent="0.25">
      <c r="A47" s="69" t="s">
        <v>67</v>
      </c>
      <c r="B47" s="69" t="s">
        <v>69</v>
      </c>
      <c r="C47" s="69" t="s">
        <v>29</v>
      </c>
      <c r="D47" s="68" t="s">
        <v>64</v>
      </c>
      <c r="E47" s="15">
        <f t="shared" si="0"/>
        <v>779.8</v>
      </c>
      <c r="F47" s="15">
        <v>779.8</v>
      </c>
      <c r="G47" s="15"/>
      <c r="H47" s="15"/>
      <c r="I47" s="15">
        <f t="shared" si="2"/>
        <v>779.8</v>
      </c>
      <c r="J47" s="15">
        <f>780-0.2</f>
        <v>779.8</v>
      </c>
      <c r="K47" s="15"/>
      <c r="L47" s="15"/>
      <c r="M47" s="15"/>
    </row>
    <row r="48" spans="1:13" s="22" customFormat="1" ht="22.5" customHeight="1" x14ac:dyDescent="0.25">
      <c r="A48" s="11" t="s">
        <v>71</v>
      </c>
      <c r="B48" s="69"/>
      <c r="C48" s="69"/>
      <c r="D48" s="61" t="s">
        <v>72</v>
      </c>
      <c r="E48" s="7">
        <f t="shared" si="0"/>
        <v>40736.6</v>
      </c>
      <c r="F48" s="7">
        <f>F49</f>
        <v>0</v>
      </c>
      <c r="G48" s="7">
        <f>G49</f>
        <v>40736.6</v>
      </c>
      <c r="H48" s="15"/>
      <c r="I48" s="7">
        <f t="shared" si="2"/>
        <v>40736.6</v>
      </c>
      <c r="J48" s="7">
        <f>J49</f>
        <v>0</v>
      </c>
      <c r="K48" s="7">
        <f>K49</f>
        <v>40736.6</v>
      </c>
      <c r="L48" s="15"/>
      <c r="M48" s="15"/>
    </row>
    <row r="49" spans="1:242" s="22" customFormat="1" ht="22.5" customHeight="1" x14ac:dyDescent="0.25">
      <c r="A49" s="11" t="s">
        <v>73</v>
      </c>
      <c r="B49" s="69"/>
      <c r="C49" s="69"/>
      <c r="D49" s="61" t="s">
        <v>74</v>
      </c>
      <c r="E49" s="7">
        <f t="shared" si="0"/>
        <v>40736.6</v>
      </c>
      <c r="F49" s="7">
        <f>F50</f>
        <v>0</v>
      </c>
      <c r="G49" s="7">
        <f>G50</f>
        <v>40736.6</v>
      </c>
      <c r="H49" s="15"/>
      <c r="I49" s="7">
        <f t="shared" si="2"/>
        <v>40736.6</v>
      </c>
      <c r="J49" s="7">
        <f>J50</f>
        <v>0</v>
      </c>
      <c r="K49" s="7">
        <f>K50</f>
        <v>40736.6</v>
      </c>
      <c r="L49" s="15"/>
      <c r="M49" s="15"/>
    </row>
    <row r="50" spans="1:242" s="22" customFormat="1" ht="52.5" customHeight="1" x14ac:dyDescent="0.25">
      <c r="A50" s="69" t="s">
        <v>73</v>
      </c>
      <c r="B50" s="69" t="s">
        <v>75</v>
      </c>
      <c r="C50" s="69" t="s">
        <v>29</v>
      </c>
      <c r="D50" s="68" t="s">
        <v>76</v>
      </c>
      <c r="E50" s="15">
        <f t="shared" si="0"/>
        <v>40736.6</v>
      </c>
      <c r="F50" s="15"/>
      <c r="G50" s="15">
        <v>40736.6</v>
      </c>
      <c r="H50" s="15"/>
      <c r="I50" s="15">
        <f t="shared" si="2"/>
        <v>40736.6</v>
      </c>
      <c r="J50" s="15"/>
      <c r="K50" s="15">
        <v>40736.6</v>
      </c>
      <c r="L50" s="15"/>
      <c r="M50" s="15"/>
    </row>
    <row r="51" spans="1:242" s="18" customFormat="1" ht="24" customHeight="1" x14ac:dyDescent="0.25">
      <c r="A51" s="11" t="s">
        <v>77</v>
      </c>
      <c r="B51" s="24"/>
      <c r="C51" s="25"/>
      <c r="D51" s="26" t="s">
        <v>78</v>
      </c>
      <c r="E51" s="7">
        <f t="shared" si="0"/>
        <v>88135.700000000012</v>
      </c>
      <c r="F51" s="7">
        <f>F52</f>
        <v>8813.6</v>
      </c>
      <c r="G51" s="7">
        <f>G52</f>
        <v>79322.100000000006</v>
      </c>
      <c r="H51" s="7"/>
      <c r="I51" s="7">
        <f t="shared" si="2"/>
        <v>88135.700000000012</v>
      </c>
      <c r="J51" s="7">
        <f>J52</f>
        <v>8813.6</v>
      </c>
      <c r="K51" s="7">
        <f>K52</f>
        <v>79322.100000000006</v>
      </c>
      <c r="L51" s="7"/>
      <c r="M51" s="7"/>
    </row>
    <row r="52" spans="1:242" s="8" customFormat="1" ht="24" customHeight="1" x14ac:dyDescent="0.25">
      <c r="A52" s="11" t="s">
        <v>79</v>
      </c>
      <c r="B52" s="24"/>
      <c r="C52" s="25"/>
      <c r="D52" s="62" t="s">
        <v>80</v>
      </c>
      <c r="E52" s="7">
        <f t="shared" si="0"/>
        <v>88135.700000000012</v>
      </c>
      <c r="F52" s="7">
        <f>SUM(F53:F54)</f>
        <v>8813.6</v>
      </c>
      <c r="G52" s="7">
        <f>SUM(G53:G54)</f>
        <v>79322.100000000006</v>
      </c>
      <c r="H52" s="7"/>
      <c r="I52" s="7">
        <f t="shared" si="2"/>
        <v>88135.700000000012</v>
      </c>
      <c r="J52" s="7">
        <f>SUM(J53:J54)</f>
        <v>8813.6</v>
      </c>
      <c r="K52" s="7">
        <f>SUM(K53:K54)</f>
        <v>79322.100000000006</v>
      </c>
      <c r="L52" s="7"/>
      <c r="M52" s="7"/>
    </row>
    <row r="53" spans="1:242" ht="28.5" customHeight="1" x14ac:dyDescent="0.25">
      <c r="A53" s="67" t="s">
        <v>79</v>
      </c>
      <c r="B53" s="69" t="s">
        <v>81</v>
      </c>
      <c r="C53" s="67" t="s">
        <v>29</v>
      </c>
      <c r="D53" s="90" t="s">
        <v>82</v>
      </c>
      <c r="E53" s="15">
        <f t="shared" si="0"/>
        <v>33569</v>
      </c>
      <c r="F53" s="15">
        <v>3356.9</v>
      </c>
      <c r="G53" s="15">
        <v>30212.1</v>
      </c>
      <c r="H53" s="7"/>
      <c r="I53" s="15">
        <f t="shared" si="2"/>
        <v>33569</v>
      </c>
      <c r="J53" s="15">
        <v>3356.9</v>
      </c>
      <c r="K53" s="15">
        <v>30212.1</v>
      </c>
      <c r="L53" s="7"/>
      <c r="M53" s="7"/>
      <c r="N53" s="27"/>
      <c r="O53" s="28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</row>
    <row r="54" spans="1:242" s="5" customFormat="1" ht="29.25" customHeight="1" x14ac:dyDescent="0.25">
      <c r="A54" s="67" t="s">
        <v>79</v>
      </c>
      <c r="B54" s="69" t="s">
        <v>83</v>
      </c>
      <c r="C54" s="67" t="s">
        <v>29</v>
      </c>
      <c r="D54" s="90"/>
      <c r="E54" s="15">
        <f t="shared" si="0"/>
        <v>54566.7</v>
      </c>
      <c r="F54" s="15">
        <v>5456.7</v>
      </c>
      <c r="G54" s="15">
        <v>49110</v>
      </c>
      <c r="H54" s="15"/>
      <c r="I54" s="15">
        <f t="shared" si="2"/>
        <v>54566.7</v>
      </c>
      <c r="J54" s="15">
        <v>5456.7</v>
      </c>
      <c r="K54" s="15">
        <f>1964.5+47145.6-0.1</f>
        <v>49110</v>
      </c>
      <c r="L54" s="15"/>
      <c r="M54" s="15"/>
      <c r="O54" s="28"/>
    </row>
    <row r="55" spans="1:242" s="5" customFormat="1" ht="19.5" customHeight="1" x14ac:dyDescent="0.25">
      <c r="A55" s="83" t="s">
        <v>84</v>
      </c>
      <c r="B55" s="83"/>
      <c r="C55" s="83"/>
      <c r="D55" s="83"/>
      <c r="E55" s="7">
        <f t="shared" si="0"/>
        <v>2375394.7000000002</v>
      </c>
      <c r="F55" s="7">
        <f>F56+F90+F114+F139+F152</f>
        <v>764626.8</v>
      </c>
      <c r="G55" s="7">
        <f>G56+G90+G114+G139+G152</f>
        <v>1610767.9000000001</v>
      </c>
      <c r="H55" s="7"/>
      <c r="I55" s="7">
        <f t="shared" si="2"/>
        <v>2537075.1244000001</v>
      </c>
      <c r="J55" s="7">
        <f>J56+J90+J114+J139+J152</f>
        <v>862736.9243999999</v>
      </c>
      <c r="K55" s="7">
        <f>K56+K90+K114+K139+K152</f>
        <v>1674338.2</v>
      </c>
      <c r="L55" s="7"/>
      <c r="M55" s="7"/>
    </row>
    <row r="56" spans="1:242" ht="20.25" customHeight="1" x14ac:dyDescent="0.25">
      <c r="A56" s="9" t="s">
        <v>17</v>
      </c>
      <c r="B56" s="9"/>
      <c r="C56" s="60"/>
      <c r="D56" s="62" t="s">
        <v>18</v>
      </c>
      <c r="E56" s="7">
        <f t="shared" si="0"/>
        <v>902032.39999999991</v>
      </c>
      <c r="F56" s="7">
        <f>F57+F60+F87</f>
        <v>79294.299999999988</v>
      </c>
      <c r="G56" s="7">
        <f>G57+G60+G87</f>
        <v>822738.09999999986</v>
      </c>
      <c r="H56" s="7"/>
      <c r="I56" s="7">
        <f t="shared" si="2"/>
        <v>913140.7</v>
      </c>
      <c r="J56" s="7">
        <f>J57+J60+J87</f>
        <v>81554.200000000012</v>
      </c>
      <c r="K56" s="7">
        <f>K57+K60+K87</f>
        <v>831586.49999999988</v>
      </c>
      <c r="L56" s="7"/>
      <c r="M56" s="7"/>
    </row>
    <row r="57" spans="1:242" ht="20.25" customHeight="1" x14ac:dyDescent="0.25">
      <c r="A57" s="9" t="s">
        <v>85</v>
      </c>
      <c r="B57" s="9"/>
      <c r="C57" s="60"/>
      <c r="D57" s="62" t="s">
        <v>86</v>
      </c>
      <c r="E57" s="7">
        <f t="shared" si="0"/>
        <v>10385.1</v>
      </c>
      <c r="F57" s="7">
        <f>F58+F59</f>
        <v>1206.3999999999999</v>
      </c>
      <c r="G57" s="7">
        <f>G58+G59</f>
        <v>9178.7000000000007</v>
      </c>
      <c r="H57" s="7"/>
      <c r="I57" s="7">
        <f t="shared" si="2"/>
        <v>11696.5</v>
      </c>
      <c r="J57" s="7">
        <f>J58+J59</f>
        <v>1206.4999999999998</v>
      </c>
      <c r="K57" s="7">
        <f>K58+K59</f>
        <v>10490</v>
      </c>
      <c r="L57" s="7"/>
      <c r="M57" s="7"/>
    </row>
    <row r="58" spans="1:242" ht="51" customHeight="1" x14ac:dyDescent="0.25">
      <c r="A58" s="69" t="s">
        <v>85</v>
      </c>
      <c r="B58" s="67" t="s">
        <v>87</v>
      </c>
      <c r="C58" s="60">
        <v>200</v>
      </c>
      <c r="D58" s="66" t="s">
        <v>88</v>
      </c>
      <c r="E58" s="15">
        <f t="shared" si="0"/>
        <v>10198.5</v>
      </c>
      <c r="F58" s="29">
        <v>1019.8</v>
      </c>
      <c r="G58" s="29">
        <v>9178.7000000000007</v>
      </c>
      <c r="H58" s="7"/>
      <c r="I58" s="15">
        <f t="shared" si="2"/>
        <v>11509.9</v>
      </c>
      <c r="J58" s="29">
        <f>1165.6-145.7</f>
        <v>1019.8999999999999</v>
      </c>
      <c r="K58" s="29">
        <f>2517.7+7972.3</f>
        <v>10490</v>
      </c>
      <c r="L58" s="7"/>
      <c r="M58" s="7"/>
    </row>
    <row r="59" spans="1:242" ht="33" customHeight="1" x14ac:dyDescent="0.25">
      <c r="A59" s="69" t="s">
        <v>85</v>
      </c>
      <c r="B59" s="67" t="s">
        <v>89</v>
      </c>
      <c r="C59" s="60">
        <v>200</v>
      </c>
      <c r="D59" s="68" t="s">
        <v>53</v>
      </c>
      <c r="E59" s="15">
        <f t="shared" si="0"/>
        <v>186.6</v>
      </c>
      <c r="F59" s="29">
        <v>186.6</v>
      </c>
      <c r="G59" s="29"/>
      <c r="H59" s="7"/>
      <c r="I59" s="15">
        <f t="shared" si="2"/>
        <v>186.6</v>
      </c>
      <c r="J59" s="29">
        <f>100-58.4+145</f>
        <v>186.6</v>
      </c>
      <c r="K59" s="29"/>
      <c r="L59" s="7"/>
      <c r="M59" s="7"/>
    </row>
    <row r="60" spans="1:242" ht="21" customHeight="1" x14ac:dyDescent="0.25">
      <c r="A60" s="11" t="s">
        <v>19</v>
      </c>
      <c r="B60" s="30"/>
      <c r="C60" s="30"/>
      <c r="D60" s="31" t="s">
        <v>20</v>
      </c>
      <c r="E60" s="7">
        <f>F60+G60</f>
        <v>890179.09999999986</v>
      </c>
      <c r="F60" s="32">
        <f>SUM(F61:F86)</f>
        <v>76619.7</v>
      </c>
      <c r="G60" s="32">
        <f>SUM(G61:G86)</f>
        <v>813559.39999999991</v>
      </c>
      <c r="H60" s="32"/>
      <c r="I60" s="7">
        <f t="shared" si="2"/>
        <v>899970.09999999986</v>
      </c>
      <c r="J60" s="32">
        <f>SUM(J61:J86)</f>
        <v>78873.600000000006</v>
      </c>
      <c r="K60" s="32">
        <f>SUM(K61:K86)</f>
        <v>821096.49999999988</v>
      </c>
      <c r="L60" s="32"/>
      <c r="M60" s="32"/>
    </row>
    <row r="61" spans="1:242" ht="19.5" customHeight="1" x14ac:dyDescent="0.25">
      <c r="A61" s="91" t="s">
        <v>19</v>
      </c>
      <c r="B61" s="69" t="s">
        <v>90</v>
      </c>
      <c r="C61" s="91" t="s">
        <v>22</v>
      </c>
      <c r="D61" s="92" t="s">
        <v>91</v>
      </c>
      <c r="E61" s="15">
        <f t="shared" si="0"/>
        <v>46974</v>
      </c>
      <c r="F61" s="15">
        <v>46974</v>
      </c>
      <c r="G61" s="17"/>
      <c r="H61" s="17"/>
      <c r="I61" s="15">
        <f t="shared" si="2"/>
        <v>46974</v>
      </c>
      <c r="J61" s="15">
        <f>24100+22222+652</f>
        <v>46974</v>
      </c>
      <c r="K61" s="17"/>
      <c r="L61" s="17"/>
      <c r="M61" s="17"/>
    </row>
    <row r="62" spans="1:242" ht="20.25" customHeight="1" x14ac:dyDescent="0.25">
      <c r="A62" s="91"/>
      <c r="B62" s="69" t="s">
        <v>92</v>
      </c>
      <c r="C62" s="91"/>
      <c r="D62" s="93"/>
      <c r="E62" s="15">
        <f t="shared" si="0"/>
        <v>422767</v>
      </c>
      <c r="F62" s="17"/>
      <c r="G62" s="17">
        <v>422767</v>
      </c>
      <c r="H62" s="17"/>
      <c r="I62" s="15">
        <f t="shared" si="2"/>
        <v>422767</v>
      </c>
      <c r="J62" s="17"/>
      <c r="K62" s="17">
        <f>216900+200000+5867</f>
        <v>422767</v>
      </c>
      <c r="L62" s="17"/>
      <c r="M62" s="17"/>
    </row>
    <row r="63" spans="1:242" ht="20.25" customHeight="1" x14ac:dyDescent="0.25">
      <c r="A63" s="91"/>
      <c r="B63" s="69" t="s">
        <v>93</v>
      </c>
      <c r="C63" s="91"/>
      <c r="D63" s="94"/>
      <c r="E63" s="15">
        <f t="shared" si="0"/>
        <v>226134</v>
      </c>
      <c r="F63" s="17"/>
      <c r="G63" s="17">
        <v>226134</v>
      </c>
      <c r="H63" s="17"/>
      <c r="I63" s="15">
        <f t="shared" si="2"/>
        <v>226134</v>
      </c>
      <c r="J63" s="17"/>
      <c r="K63" s="17">
        <f>28147+130730+67257</f>
        <v>226134</v>
      </c>
      <c r="L63" s="17"/>
      <c r="M63" s="17"/>
    </row>
    <row r="64" spans="1:242" ht="52.5" customHeight="1" x14ac:dyDescent="0.25">
      <c r="A64" s="67" t="s">
        <v>19</v>
      </c>
      <c r="B64" s="69" t="s">
        <v>94</v>
      </c>
      <c r="C64" s="67" t="s">
        <v>22</v>
      </c>
      <c r="D64" s="33" t="s">
        <v>95</v>
      </c>
      <c r="E64" s="15">
        <f t="shared" si="0"/>
        <v>8619.7000000000007</v>
      </c>
      <c r="F64" s="17">
        <v>431</v>
      </c>
      <c r="G64" s="17">
        <v>8188.7</v>
      </c>
      <c r="H64" s="17"/>
      <c r="I64" s="15">
        <f t="shared" si="2"/>
        <v>11480.5</v>
      </c>
      <c r="J64" s="17">
        <f>631.5+0.1-200.6</f>
        <v>431</v>
      </c>
      <c r="K64" s="17">
        <f>11999.5-950</f>
        <v>11049.5</v>
      </c>
      <c r="L64" s="17"/>
      <c r="M64" s="17"/>
    </row>
    <row r="65" spans="1:13" ht="52.5" customHeight="1" x14ac:dyDescent="0.25">
      <c r="A65" s="67" t="s">
        <v>19</v>
      </c>
      <c r="B65" s="69" t="s">
        <v>96</v>
      </c>
      <c r="C65" s="67" t="s">
        <v>22</v>
      </c>
      <c r="D65" s="33" t="s">
        <v>97</v>
      </c>
      <c r="E65" s="15">
        <f t="shared" si="0"/>
        <v>7000</v>
      </c>
      <c r="F65" s="17">
        <v>350</v>
      </c>
      <c r="G65" s="17">
        <v>6650</v>
      </c>
      <c r="H65" s="17"/>
      <c r="I65" s="15">
        <f t="shared" si="2"/>
        <v>7000</v>
      </c>
      <c r="J65" s="17">
        <v>350</v>
      </c>
      <c r="K65" s="17">
        <v>6650</v>
      </c>
      <c r="L65" s="17"/>
      <c r="M65" s="17"/>
    </row>
    <row r="66" spans="1:13" ht="53.25" customHeight="1" x14ac:dyDescent="0.25">
      <c r="A66" s="67" t="s">
        <v>19</v>
      </c>
      <c r="B66" s="69" t="s">
        <v>98</v>
      </c>
      <c r="C66" s="67" t="s">
        <v>22</v>
      </c>
      <c r="D66" s="33" t="s">
        <v>99</v>
      </c>
      <c r="E66" s="15">
        <f t="shared" si="0"/>
        <v>21053.100000000002</v>
      </c>
      <c r="F66" s="17">
        <v>1052.7</v>
      </c>
      <c r="G66" s="17">
        <v>20000.400000000001</v>
      </c>
      <c r="H66" s="17"/>
      <c r="I66" s="15">
        <f t="shared" si="2"/>
        <v>21053.1</v>
      </c>
      <c r="J66" s="17">
        <v>1052.7</v>
      </c>
      <c r="K66" s="17">
        <f>20000.3+0.1</f>
        <v>20000.399999999998</v>
      </c>
      <c r="L66" s="17"/>
      <c r="M66" s="17"/>
    </row>
    <row r="67" spans="1:13" ht="40.5" customHeight="1" x14ac:dyDescent="0.25">
      <c r="A67" s="67" t="s">
        <v>19</v>
      </c>
      <c r="B67" s="69" t="s">
        <v>100</v>
      </c>
      <c r="C67" s="67" t="s">
        <v>22</v>
      </c>
      <c r="D67" s="33" t="s">
        <v>101</v>
      </c>
      <c r="E67" s="15">
        <f t="shared" si="0"/>
        <v>8184</v>
      </c>
      <c r="F67" s="17">
        <v>409.2</v>
      </c>
      <c r="G67" s="17">
        <v>7774.8</v>
      </c>
      <c r="H67" s="17"/>
      <c r="I67" s="15">
        <f t="shared" si="2"/>
        <v>8184</v>
      </c>
      <c r="J67" s="17">
        <v>409.2</v>
      </c>
      <c r="K67" s="17">
        <v>7774.8</v>
      </c>
      <c r="L67" s="17"/>
      <c r="M67" s="17"/>
    </row>
    <row r="68" spans="1:13" ht="42.75" customHeight="1" x14ac:dyDescent="0.25">
      <c r="A68" s="67" t="s">
        <v>19</v>
      </c>
      <c r="B68" s="69" t="s">
        <v>102</v>
      </c>
      <c r="C68" s="67" t="s">
        <v>22</v>
      </c>
      <c r="D68" s="33" t="s">
        <v>103</v>
      </c>
      <c r="E68" s="15">
        <f t="shared" si="0"/>
        <v>10526</v>
      </c>
      <c r="F68" s="17">
        <v>526.29999999999995</v>
      </c>
      <c r="G68" s="17">
        <v>9999.7000000000007</v>
      </c>
      <c r="H68" s="17"/>
      <c r="I68" s="15">
        <f t="shared" si="2"/>
        <v>10526</v>
      </c>
      <c r="J68" s="17">
        <v>526.29999999999995</v>
      </c>
      <c r="K68" s="17">
        <v>9999.7000000000007</v>
      </c>
      <c r="L68" s="17"/>
      <c r="M68" s="17"/>
    </row>
    <row r="69" spans="1:13" ht="35.25" customHeight="1" x14ac:dyDescent="0.25">
      <c r="A69" s="67" t="s">
        <v>19</v>
      </c>
      <c r="B69" s="69" t="s">
        <v>104</v>
      </c>
      <c r="C69" s="67" t="s">
        <v>22</v>
      </c>
      <c r="D69" s="33" t="s">
        <v>105</v>
      </c>
      <c r="E69" s="15">
        <f t="shared" si="0"/>
        <v>4826.5</v>
      </c>
      <c r="F69" s="17">
        <v>241.3</v>
      </c>
      <c r="G69" s="17">
        <v>4585.2</v>
      </c>
      <c r="H69" s="17"/>
      <c r="I69" s="15">
        <f t="shared" si="2"/>
        <v>5241.3</v>
      </c>
      <c r="J69" s="17">
        <f>263.2-21.8</f>
        <v>241.39999999999998</v>
      </c>
      <c r="K69" s="17">
        <f>4999.8+0.1</f>
        <v>4999.9000000000005</v>
      </c>
      <c r="L69" s="17"/>
      <c r="M69" s="17"/>
    </row>
    <row r="70" spans="1:13" ht="54" customHeight="1" x14ac:dyDescent="0.25">
      <c r="A70" s="67" t="s">
        <v>19</v>
      </c>
      <c r="B70" s="69" t="s">
        <v>106</v>
      </c>
      <c r="C70" s="67" t="s">
        <v>22</v>
      </c>
      <c r="D70" s="33" t="s">
        <v>107</v>
      </c>
      <c r="E70" s="15">
        <f t="shared" si="0"/>
        <v>5263</v>
      </c>
      <c r="F70" s="17">
        <v>263.2</v>
      </c>
      <c r="G70" s="17">
        <v>4999.8</v>
      </c>
      <c r="H70" s="17"/>
      <c r="I70" s="15">
        <f t="shared" si="2"/>
        <v>5262.9999999999991</v>
      </c>
      <c r="J70" s="17">
        <f>263.1+0.1</f>
        <v>263.20000000000005</v>
      </c>
      <c r="K70" s="17">
        <f>4999.9-0.1</f>
        <v>4999.7999999999993</v>
      </c>
      <c r="L70" s="17"/>
      <c r="M70" s="17"/>
    </row>
    <row r="71" spans="1:13" ht="39" customHeight="1" x14ac:dyDescent="0.25">
      <c r="A71" s="67" t="s">
        <v>19</v>
      </c>
      <c r="B71" s="69" t="s">
        <v>108</v>
      </c>
      <c r="C71" s="67" t="s">
        <v>22</v>
      </c>
      <c r="D71" s="33" t="s">
        <v>109</v>
      </c>
      <c r="E71" s="15">
        <f t="shared" si="0"/>
        <v>1500</v>
      </c>
      <c r="F71" s="17">
        <v>75</v>
      </c>
      <c r="G71" s="17">
        <v>1425</v>
      </c>
      <c r="H71" s="17"/>
      <c r="I71" s="15">
        <f t="shared" si="2"/>
        <v>1500</v>
      </c>
      <c r="J71" s="17">
        <v>75</v>
      </c>
      <c r="K71" s="17">
        <v>1425</v>
      </c>
      <c r="L71" s="17"/>
      <c r="M71" s="17"/>
    </row>
    <row r="72" spans="1:13" ht="53.25" customHeight="1" x14ac:dyDescent="0.25">
      <c r="A72" s="67" t="s">
        <v>19</v>
      </c>
      <c r="B72" s="34" t="s">
        <v>110</v>
      </c>
      <c r="C72" s="67" t="s">
        <v>22</v>
      </c>
      <c r="D72" s="33" t="s">
        <v>111</v>
      </c>
      <c r="E72" s="15">
        <f t="shared" si="0"/>
        <v>5064.0999999999995</v>
      </c>
      <c r="F72" s="17">
        <v>253.2</v>
      </c>
      <c r="G72" s="17">
        <v>4810.8999999999996</v>
      </c>
      <c r="H72" s="17"/>
      <c r="I72" s="15">
        <f t="shared" si="2"/>
        <v>6592.8000000000011</v>
      </c>
      <c r="J72" s="17">
        <f>526.3-196.7</f>
        <v>329.59999999999997</v>
      </c>
      <c r="K72" s="17">
        <f>9999.7-3736.5</f>
        <v>6263.2000000000007</v>
      </c>
      <c r="L72" s="17"/>
      <c r="M72" s="17"/>
    </row>
    <row r="73" spans="1:13" ht="53.25" customHeight="1" x14ac:dyDescent="0.25">
      <c r="A73" s="67" t="s">
        <v>19</v>
      </c>
      <c r="B73" s="69" t="s">
        <v>112</v>
      </c>
      <c r="C73" s="67" t="s">
        <v>22</v>
      </c>
      <c r="D73" s="33" t="s">
        <v>113</v>
      </c>
      <c r="E73" s="15">
        <f t="shared" si="0"/>
        <v>10795.9</v>
      </c>
      <c r="F73" s="17">
        <v>539.79999999999995</v>
      </c>
      <c r="G73" s="17">
        <v>10256.1</v>
      </c>
      <c r="H73" s="17"/>
      <c r="I73" s="15">
        <f t="shared" si="2"/>
        <v>12539.199999999999</v>
      </c>
      <c r="J73" s="17">
        <f>631.5+0.1-91.7-0.1</f>
        <v>539.79999999999995</v>
      </c>
      <c r="K73" s="17">
        <f>11999.5-0.1</f>
        <v>11999.4</v>
      </c>
      <c r="L73" s="17"/>
      <c r="M73" s="17"/>
    </row>
    <row r="74" spans="1:13" ht="52.5" customHeight="1" x14ac:dyDescent="0.25">
      <c r="A74" s="67" t="s">
        <v>19</v>
      </c>
      <c r="B74" s="69" t="s">
        <v>114</v>
      </c>
      <c r="C74" s="67" t="s">
        <v>22</v>
      </c>
      <c r="D74" s="33" t="s">
        <v>115</v>
      </c>
      <c r="E74" s="15">
        <f t="shared" si="0"/>
        <v>10283.6</v>
      </c>
      <c r="F74" s="17">
        <v>514.20000000000005</v>
      </c>
      <c r="G74" s="17">
        <v>9769.4</v>
      </c>
      <c r="H74" s="17"/>
      <c r="I74" s="15">
        <f t="shared" si="2"/>
        <v>10513.900000000001</v>
      </c>
      <c r="J74" s="17">
        <f>526.3-12.1</f>
        <v>514.19999999999993</v>
      </c>
      <c r="K74" s="17">
        <v>9999.7000000000007</v>
      </c>
      <c r="L74" s="17"/>
      <c r="M74" s="17"/>
    </row>
    <row r="75" spans="1:13" ht="54" customHeight="1" x14ac:dyDescent="0.25">
      <c r="A75" s="67" t="s">
        <v>19</v>
      </c>
      <c r="B75" s="69" t="s">
        <v>116</v>
      </c>
      <c r="C75" s="67" t="s">
        <v>22</v>
      </c>
      <c r="D75" s="33" t="s">
        <v>117</v>
      </c>
      <c r="E75" s="15">
        <f t="shared" si="0"/>
        <v>7368</v>
      </c>
      <c r="F75" s="17">
        <v>368.4</v>
      </c>
      <c r="G75" s="17">
        <v>6999.6</v>
      </c>
      <c r="H75" s="17"/>
      <c r="I75" s="15">
        <f t="shared" si="2"/>
        <v>7368</v>
      </c>
      <c r="J75" s="17">
        <v>368.4</v>
      </c>
      <c r="K75" s="17">
        <v>6999.6</v>
      </c>
      <c r="L75" s="17"/>
      <c r="M75" s="17"/>
    </row>
    <row r="76" spans="1:13" ht="57.75" customHeight="1" x14ac:dyDescent="0.25">
      <c r="A76" s="67" t="s">
        <v>19</v>
      </c>
      <c r="B76" s="69" t="s">
        <v>118</v>
      </c>
      <c r="C76" s="67" t="s">
        <v>22</v>
      </c>
      <c r="D76" s="33" t="s">
        <v>119</v>
      </c>
      <c r="E76" s="15">
        <f t="shared" si="0"/>
        <v>7541.4000000000005</v>
      </c>
      <c r="F76" s="17">
        <v>377.1</v>
      </c>
      <c r="G76" s="17">
        <v>7164.3</v>
      </c>
      <c r="H76" s="17"/>
      <c r="I76" s="15">
        <f t="shared" si="2"/>
        <v>8377</v>
      </c>
      <c r="J76" s="17">
        <f>421.1-0.1+0.1-44</f>
        <v>377.1</v>
      </c>
      <c r="K76" s="17">
        <v>7999.9</v>
      </c>
      <c r="L76" s="17"/>
      <c r="M76" s="17"/>
    </row>
    <row r="77" spans="1:13" ht="51.75" customHeight="1" x14ac:dyDescent="0.25">
      <c r="A77" s="67" t="s">
        <v>19</v>
      </c>
      <c r="B77" s="69" t="s">
        <v>120</v>
      </c>
      <c r="C77" s="67" t="s">
        <v>22</v>
      </c>
      <c r="D77" s="33" t="s">
        <v>121</v>
      </c>
      <c r="E77" s="15">
        <f t="shared" si="0"/>
        <v>10526</v>
      </c>
      <c r="F77" s="17">
        <v>526.29999999999995</v>
      </c>
      <c r="G77" s="17">
        <v>9999.7000000000007</v>
      </c>
      <c r="H77" s="17"/>
      <c r="I77" s="15">
        <f t="shared" si="2"/>
        <v>10526</v>
      </c>
      <c r="J77" s="17">
        <v>526.29999999999995</v>
      </c>
      <c r="K77" s="17">
        <v>9999.7000000000007</v>
      </c>
      <c r="L77" s="17"/>
      <c r="M77" s="17"/>
    </row>
    <row r="78" spans="1:13" ht="53.25" customHeight="1" x14ac:dyDescent="0.25">
      <c r="A78" s="67" t="s">
        <v>19</v>
      </c>
      <c r="B78" s="69" t="s">
        <v>122</v>
      </c>
      <c r="C78" s="67" t="s">
        <v>22</v>
      </c>
      <c r="D78" s="33" t="s">
        <v>123</v>
      </c>
      <c r="E78" s="15">
        <f t="shared" si="0"/>
        <v>10526</v>
      </c>
      <c r="F78" s="17">
        <v>526.29999999999995</v>
      </c>
      <c r="G78" s="17">
        <v>9999.7000000000007</v>
      </c>
      <c r="H78" s="17"/>
      <c r="I78" s="15">
        <f t="shared" si="2"/>
        <v>10526</v>
      </c>
      <c r="J78" s="17">
        <v>526.29999999999995</v>
      </c>
      <c r="K78" s="17">
        <v>9999.7000000000007</v>
      </c>
      <c r="L78" s="17"/>
      <c r="M78" s="17"/>
    </row>
    <row r="79" spans="1:13" ht="47.25" customHeight="1" x14ac:dyDescent="0.25">
      <c r="A79" s="67" t="s">
        <v>19</v>
      </c>
      <c r="B79" s="69" t="s">
        <v>124</v>
      </c>
      <c r="C79" s="67" t="s">
        <v>22</v>
      </c>
      <c r="D79" s="33" t="s">
        <v>125</v>
      </c>
      <c r="E79" s="15">
        <f t="shared" si="0"/>
        <v>4737</v>
      </c>
      <c r="F79" s="17">
        <v>236.8</v>
      </c>
      <c r="G79" s="17">
        <v>4500.2</v>
      </c>
      <c r="H79" s="17"/>
      <c r="I79" s="15">
        <f t="shared" si="2"/>
        <v>4737.0999999999995</v>
      </c>
      <c r="J79" s="17">
        <f>236.8+0.1</f>
        <v>236.9</v>
      </c>
      <c r="K79" s="17">
        <v>4500.2</v>
      </c>
      <c r="L79" s="17"/>
      <c r="M79" s="17"/>
    </row>
    <row r="80" spans="1:13" ht="54" customHeight="1" x14ac:dyDescent="0.25">
      <c r="A80" s="67" t="s">
        <v>19</v>
      </c>
      <c r="B80" s="69" t="s">
        <v>126</v>
      </c>
      <c r="C80" s="67" t="s">
        <v>22</v>
      </c>
      <c r="D80" s="33" t="s">
        <v>127</v>
      </c>
      <c r="E80" s="15">
        <f t="shared" si="0"/>
        <v>15010.4</v>
      </c>
      <c r="F80" s="17">
        <v>750.5</v>
      </c>
      <c r="G80" s="17">
        <v>14259.9</v>
      </c>
      <c r="H80" s="17"/>
      <c r="I80" s="15">
        <f t="shared" si="2"/>
        <v>15010.5</v>
      </c>
      <c r="J80" s="17">
        <f>1177.3-426.8</f>
        <v>750.5</v>
      </c>
      <c r="K80" s="17">
        <f>22368.7-8108.7</f>
        <v>14260</v>
      </c>
      <c r="L80" s="17"/>
      <c r="M80" s="17"/>
    </row>
    <row r="81" spans="1:15" ht="50.25" customHeight="1" x14ac:dyDescent="0.25">
      <c r="A81" s="67" t="s">
        <v>19</v>
      </c>
      <c r="B81" s="69" t="s">
        <v>128</v>
      </c>
      <c r="C81" s="67" t="s">
        <v>22</v>
      </c>
      <c r="D81" s="33" t="s">
        <v>129</v>
      </c>
      <c r="E81" s="15">
        <f t="shared" ref="E81:E136" si="3">F81+G81</f>
        <v>1500</v>
      </c>
      <c r="F81" s="17">
        <v>75</v>
      </c>
      <c r="G81" s="17">
        <v>1425</v>
      </c>
      <c r="H81" s="17"/>
      <c r="I81" s="15">
        <f t="shared" si="2"/>
        <v>1500</v>
      </c>
      <c r="J81" s="17">
        <v>75</v>
      </c>
      <c r="K81" s="17">
        <v>1425</v>
      </c>
      <c r="L81" s="17"/>
      <c r="M81" s="17"/>
    </row>
    <row r="82" spans="1:15" ht="41.25" customHeight="1" x14ac:dyDescent="0.25">
      <c r="A82" s="67" t="s">
        <v>19</v>
      </c>
      <c r="B82" s="69" t="s">
        <v>130</v>
      </c>
      <c r="C82" s="67" t="s">
        <v>22</v>
      </c>
      <c r="D82" s="33" t="s">
        <v>131</v>
      </c>
      <c r="E82" s="15">
        <f t="shared" si="3"/>
        <v>10000</v>
      </c>
      <c r="F82" s="17">
        <v>500</v>
      </c>
      <c r="G82" s="17">
        <v>9500</v>
      </c>
      <c r="H82" s="17"/>
      <c r="I82" s="15">
        <f t="shared" si="2"/>
        <v>10000</v>
      </c>
      <c r="J82" s="17">
        <v>500</v>
      </c>
      <c r="K82" s="17">
        <v>9500</v>
      </c>
      <c r="L82" s="17"/>
      <c r="M82" s="17"/>
    </row>
    <row r="83" spans="1:15" ht="51.75" customHeight="1" x14ac:dyDescent="0.25">
      <c r="A83" s="67" t="s">
        <v>19</v>
      </c>
      <c r="B83" s="69" t="s">
        <v>132</v>
      </c>
      <c r="C83" s="67" t="s">
        <v>22</v>
      </c>
      <c r="D83" s="33" t="s">
        <v>133</v>
      </c>
      <c r="E83" s="15">
        <f t="shared" si="3"/>
        <v>13000</v>
      </c>
      <c r="F83" s="17">
        <v>650</v>
      </c>
      <c r="G83" s="17">
        <v>12350</v>
      </c>
      <c r="H83" s="17"/>
      <c r="I83" s="15">
        <f t="shared" si="2"/>
        <v>13000</v>
      </c>
      <c r="J83" s="17">
        <v>650</v>
      </c>
      <c r="K83" s="17">
        <v>12350</v>
      </c>
      <c r="L83" s="17"/>
      <c r="M83" s="17"/>
    </row>
    <row r="84" spans="1:15" ht="66.75" customHeight="1" x14ac:dyDescent="0.25">
      <c r="A84" s="35" t="s">
        <v>19</v>
      </c>
      <c r="B84" s="69" t="s">
        <v>134</v>
      </c>
      <c r="C84" s="67" t="s">
        <v>22</v>
      </c>
      <c r="D84" s="36" t="s">
        <v>135</v>
      </c>
      <c r="E84" s="15">
        <f>F84+G84+H84</f>
        <v>4398.3999999999996</v>
      </c>
      <c r="F84" s="15">
        <v>4398.3999999999996</v>
      </c>
      <c r="G84" s="17"/>
      <c r="H84" s="15"/>
      <c r="I84" s="15">
        <f>J84+K84+L84</f>
        <v>4400</v>
      </c>
      <c r="J84" s="15">
        <v>4400</v>
      </c>
      <c r="K84" s="17"/>
      <c r="L84" s="15"/>
      <c r="M84" s="15"/>
    </row>
    <row r="85" spans="1:15" ht="56.25" customHeight="1" x14ac:dyDescent="0.25">
      <c r="A85" s="35" t="s">
        <v>19</v>
      </c>
      <c r="B85" s="69" t="s">
        <v>134</v>
      </c>
      <c r="C85" s="67" t="s">
        <v>22</v>
      </c>
      <c r="D85" s="36" t="s">
        <v>136</v>
      </c>
      <c r="E85" s="15">
        <f>F85+G85+H85</f>
        <v>12219.8</v>
      </c>
      <c r="F85" s="15">
        <v>12219.8</v>
      </c>
      <c r="G85" s="17"/>
      <c r="H85" s="15"/>
      <c r="I85" s="15">
        <f>J85+K85+L85</f>
        <v>14377.4</v>
      </c>
      <c r="J85" s="15">
        <f>15000-622.6</f>
        <v>14377.4</v>
      </c>
      <c r="K85" s="17"/>
      <c r="L85" s="15"/>
      <c r="M85" s="15"/>
      <c r="O85" s="37"/>
    </row>
    <row r="86" spans="1:15" ht="41.25" customHeight="1" x14ac:dyDescent="0.25">
      <c r="A86" s="67" t="s">
        <v>19</v>
      </c>
      <c r="B86" s="69" t="s">
        <v>137</v>
      </c>
      <c r="C86" s="38">
        <v>200</v>
      </c>
      <c r="D86" s="68" t="s">
        <v>138</v>
      </c>
      <c r="E86" s="15">
        <f t="shared" si="3"/>
        <v>4361.2</v>
      </c>
      <c r="F86" s="17">
        <v>4361.2</v>
      </c>
      <c r="G86" s="17"/>
      <c r="H86" s="17"/>
      <c r="I86" s="15">
        <f>J86+K86</f>
        <v>4379.3</v>
      </c>
      <c r="J86" s="17">
        <f>100+300+3200-0.1-0.3+5600+226-5046.3</f>
        <v>4379.3</v>
      </c>
      <c r="K86" s="17"/>
      <c r="L86" s="17"/>
      <c r="M86" s="17"/>
    </row>
    <row r="87" spans="1:15" ht="33.75" customHeight="1" x14ac:dyDescent="0.25">
      <c r="A87" s="11" t="s">
        <v>139</v>
      </c>
      <c r="B87" s="39"/>
      <c r="C87" s="39"/>
      <c r="D87" s="61" t="s">
        <v>140</v>
      </c>
      <c r="E87" s="7">
        <f>F87+G87+H87</f>
        <v>1468.1999999999998</v>
      </c>
      <c r="F87" s="7">
        <f>F88+F89</f>
        <v>1468.1999999999998</v>
      </c>
      <c r="G87" s="7"/>
      <c r="H87" s="7"/>
      <c r="I87" s="7">
        <f>J87+K87+L87</f>
        <v>1474.1</v>
      </c>
      <c r="J87" s="7">
        <f>J88+J89</f>
        <v>1474.1</v>
      </c>
      <c r="K87" s="7"/>
      <c r="L87" s="7"/>
      <c r="M87" s="7"/>
    </row>
    <row r="88" spans="1:15" ht="31.5" customHeight="1" x14ac:dyDescent="0.25">
      <c r="A88" s="67" t="s">
        <v>139</v>
      </c>
      <c r="B88" s="67" t="s">
        <v>141</v>
      </c>
      <c r="C88" s="67" t="s">
        <v>22</v>
      </c>
      <c r="D88" s="68" t="s">
        <v>142</v>
      </c>
      <c r="E88" s="15">
        <f>F88+G88+H88</f>
        <v>1041.8</v>
      </c>
      <c r="F88" s="15">
        <v>1041.8</v>
      </c>
      <c r="G88" s="7"/>
      <c r="H88" s="40"/>
      <c r="I88" s="15">
        <f>J88+K88+L88</f>
        <v>1047.7</v>
      </c>
      <c r="J88" s="15">
        <f>1048-0.3</f>
        <v>1047.7</v>
      </c>
      <c r="K88" s="7"/>
      <c r="L88" s="40"/>
      <c r="M88" s="40"/>
    </row>
    <row r="89" spans="1:15" ht="31.5" customHeight="1" x14ac:dyDescent="0.25">
      <c r="A89" s="67" t="s">
        <v>139</v>
      </c>
      <c r="B89" s="67" t="s">
        <v>141</v>
      </c>
      <c r="C89" s="67" t="s">
        <v>22</v>
      </c>
      <c r="D89" s="68" t="s">
        <v>143</v>
      </c>
      <c r="E89" s="15">
        <f>F89+G89+H89</f>
        <v>426.4</v>
      </c>
      <c r="F89" s="15">
        <v>426.4</v>
      </c>
      <c r="G89" s="7"/>
      <c r="H89" s="40"/>
      <c r="I89" s="15">
        <f>J89+K89+L89</f>
        <v>426.4</v>
      </c>
      <c r="J89" s="15">
        <v>426.4</v>
      </c>
      <c r="K89" s="7"/>
      <c r="L89" s="40"/>
      <c r="M89" s="40"/>
    </row>
    <row r="90" spans="1:15" ht="25.5" customHeight="1" x14ac:dyDescent="0.25">
      <c r="A90" s="9" t="s">
        <v>24</v>
      </c>
      <c r="B90" s="67"/>
      <c r="C90" s="67"/>
      <c r="D90" s="61" t="s">
        <v>25</v>
      </c>
      <c r="E90" s="7">
        <f t="shared" si="3"/>
        <v>856620.10000000009</v>
      </c>
      <c r="F90" s="7">
        <f>F97+F91</f>
        <v>287982.2</v>
      </c>
      <c r="G90" s="7">
        <f>G97+G91</f>
        <v>568637.9</v>
      </c>
      <c r="H90" s="7"/>
      <c r="I90" s="7">
        <f t="shared" ref="I90:I108" si="4">J90+K90</f>
        <v>975900.39999999991</v>
      </c>
      <c r="J90" s="7">
        <f>J97+J91</f>
        <v>374990.89999999997</v>
      </c>
      <c r="K90" s="7">
        <f>K97+K91</f>
        <v>600909.5</v>
      </c>
      <c r="L90" s="7"/>
      <c r="M90" s="7"/>
    </row>
    <row r="91" spans="1:15" ht="27" customHeight="1" x14ac:dyDescent="0.25">
      <c r="A91" s="9" t="s">
        <v>26</v>
      </c>
      <c r="B91" s="67"/>
      <c r="C91" s="67"/>
      <c r="D91" s="61" t="s">
        <v>27</v>
      </c>
      <c r="E91" s="7">
        <f t="shared" si="3"/>
        <v>39906.6</v>
      </c>
      <c r="F91" s="7">
        <f>F92+F95+F96+F93</f>
        <v>14948.9</v>
      </c>
      <c r="G91" s="7">
        <f>G94</f>
        <v>24957.7</v>
      </c>
      <c r="H91" s="7"/>
      <c r="I91" s="7">
        <f t="shared" si="4"/>
        <v>30792.899999999998</v>
      </c>
      <c r="J91" s="7">
        <f>J92+J95+J96+J93</f>
        <v>14037.599999999999</v>
      </c>
      <c r="K91" s="7">
        <f>K94</f>
        <v>16755.3</v>
      </c>
      <c r="L91" s="7"/>
      <c r="M91" s="7"/>
    </row>
    <row r="92" spans="1:15" ht="54" customHeight="1" x14ac:dyDescent="0.25">
      <c r="A92" s="69" t="s">
        <v>26</v>
      </c>
      <c r="B92" s="67" t="s">
        <v>89</v>
      </c>
      <c r="C92" s="67" t="s">
        <v>22</v>
      </c>
      <c r="D92" s="68" t="s">
        <v>144</v>
      </c>
      <c r="E92" s="15">
        <f t="shared" si="3"/>
        <v>1345.2</v>
      </c>
      <c r="F92" s="15">
        <v>1345.2</v>
      </c>
      <c r="G92" s="7"/>
      <c r="H92" s="7"/>
      <c r="I92" s="15">
        <f t="shared" si="4"/>
        <v>1345.2000000000007</v>
      </c>
      <c r="J92" s="15">
        <f>21393.2-15000-943-1000-4000+1071-176</f>
        <v>1345.2000000000007</v>
      </c>
      <c r="K92" s="7"/>
      <c r="L92" s="7"/>
      <c r="M92" s="7"/>
    </row>
    <row r="93" spans="1:15" ht="31.5" customHeight="1" x14ac:dyDescent="0.25">
      <c r="A93" s="86" t="s">
        <v>26</v>
      </c>
      <c r="B93" s="69" t="s">
        <v>32</v>
      </c>
      <c r="C93" s="95" t="s">
        <v>22</v>
      </c>
      <c r="D93" s="88" t="s">
        <v>145</v>
      </c>
      <c r="E93" s="15">
        <f>F93+G93</f>
        <v>2773.1</v>
      </c>
      <c r="F93" s="15">
        <v>2773.1</v>
      </c>
      <c r="G93" s="7"/>
      <c r="H93" s="7"/>
      <c r="I93" s="15">
        <f t="shared" si="4"/>
        <v>1861.6999999999998</v>
      </c>
      <c r="J93" s="15">
        <f>1484.3+377.4</f>
        <v>1861.6999999999998</v>
      </c>
      <c r="K93" s="7"/>
      <c r="L93" s="7"/>
      <c r="M93" s="7"/>
    </row>
    <row r="94" spans="1:15" ht="33" customHeight="1" x14ac:dyDescent="0.25">
      <c r="A94" s="87"/>
      <c r="B94" s="69" t="s">
        <v>34</v>
      </c>
      <c r="C94" s="96"/>
      <c r="D94" s="89"/>
      <c r="E94" s="15">
        <f>F94+G94</f>
        <v>24957.7</v>
      </c>
      <c r="F94" s="15"/>
      <c r="G94" s="15">
        <v>24957.7</v>
      </c>
      <c r="H94" s="7"/>
      <c r="I94" s="15">
        <f t="shared" si="4"/>
        <v>16755.3</v>
      </c>
      <c r="J94" s="15"/>
      <c r="K94" s="15">
        <v>16755.3</v>
      </c>
      <c r="L94" s="7"/>
      <c r="M94" s="7"/>
    </row>
    <row r="95" spans="1:15" ht="34.5" customHeight="1" x14ac:dyDescent="0.25">
      <c r="A95" s="69" t="s">
        <v>26</v>
      </c>
      <c r="B95" s="67" t="s">
        <v>89</v>
      </c>
      <c r="C95" s="67" t="s">
        <v>22</v>
      </c>
      <c r="D95" s="68" t="s">
        <v>146</v>
      </c>
      <c r="E95" s="15">
        <f t="shared" si="3"/>
        <v>10792.3</v>
      </c>
      <c r="F95" s="15">
        <v>10792.3</v>
      </c>
      <c r="G95" s="7"/>
      <c r="H95" s="7"/>
      <c r="I95" s="15">
        <f t="shared" si="4"/>
        <v>10792.4</v>
      </c>
      <c r="J95" s="15">
        <f>5700+7300-1456-751.6</f>
        <v>10792.4</v>
      </c>
      <c r="K95" s="7"/>
      <c r="L95" s="7"/>
      <c r="M95" s="7"/>
    </row>
    <row r="96" spans="1:15" ht="37.5" customHeight="1" x14ac:dyDescent="0.25">
      <c r="A96" s="69" t="s">
        <v>26</v>
      </c>
      <c r="B96" s="67" t="s">
        <v>89</v>
      </c>
      <c r="C96" s="67" t="s">
        <v>22</v>
      </c>
      <c r="D96" s="68" t="s">
        <v>35</v>
      </c>
      <c r="E96" s="15">
        <f t="shared" si="3"/>
        <v>38.299999999999997</v>
      </c>
      <c r="F96" s="15">
        <v>38.299999999999997</v>
      </c>
      <c r="G96" s="7"/>
      <c r="H96" s="7"/>
      <c r="I96" s="15">
        <f t="shared" si="4"/>
        <v>38.300000000000011</v>
      </c>
      <c r="J96" s="15">
        <f>100+695-450-306.7</f>
        <v>38.300000000000011</v>
      </c>
      <c r="K96" s="7"/>
      <c r="L96" s="7"/>
      <c r="M96" s="7"/>
    </row>
    <row r="97" spans="1:13" ht="23.25" customHeight="1" x14ac:dyDescent="0.25">
      <c r="A97" s="9" t="s">
        <v>36</v>
      </c>
      <c r="B97" s="9"/>
      <c r="C97" s="9"/>
      <c r="D97" s="61" t="s">
        <v>37</v>
      </c>
      <c r="E97" s="7">
        <f t="shared" si="3"/>
        <v>816713.5</v>
      </c>
      <c r="F97" s="7">
        <f>SUM(F98:F113)</f>
        <v>273033.3</v>
      </c>
      <c r="G97" s="7">
        <f>SUM(G98:G113)</f>
        <v>543680.20000000007</v>
      </c>
      <c r="H97" s="7"/>
      <c r="I97" s="7">
        <f t="shared" si="4"/>
        <v>945107.5</v>
      </c>
      <c r="J97" s="7">
        <f>SUM(J98:J113)</f>
        <v>360953.3</v>
      </c>
      <c r="K97" s="7">
        <f>SUM(K98:K113)</f>
        <v>584154.19999999995</v>
      </c>
      <c r="L97" s="7"/>
      <c r="M97" s="7"/>
    </row>
    <row r="98" spans="1:13" ht="28.5" customHeight="1" x14ac:dyDescent="0.25">
      <c r="A98" s="91" t="s">
        <v>36</v>
      </c>
      <c r="B98" s="69" t="s">
        <v>147</v>
      </c>
      <c r="C98" s="91" t="s">
        <v>22</v>
      </c>
      <c r="D98" s="97" t="s">
        <v>148</v>
      </c>
      <c r="E98" s="15">
        <f t="shared" si="3"/>
        <v>75469.899999999994</v>
      </c>
      <c r="F98" s="29">
        <v>7944.2</v>
      </c>
      <c r="G98" s="29">
        <v>67525.7</v>
      </c>
      <c r="H98" s="29"/>
      <c r="I98" s="15">
        <f t="shared" si="4"/>
        <v>75469.999999999985</v>
      </c>
      <c r="J98" s="29">
        <v>7944.2</v>
      </c>
      <c r="K98" s="29">
        <f>420701.1+64824.7-418000</f>
        <v>67525.799999999988</v>
      </c>
      <c r="L98" s="29"/>
      <c r="M98" s="29"/>
    </row>
    <row r="99" spans="1:13" ht="26.25" customHeight="1" x14ac:dyDescent="0.25">
      <c r="A99" s="91"/>
      <c r="B99" s="69" t="s">
        <v>149</v>
      </c>
      <c r="C99" s="91"/>
      <c r="D99" s="97"/>
      <c r="E99" s="15">
        <f t="shared" si="3"/>
        <v>419340.6</v>
      </c>
      <c r="F99" s="29">
        <v>35618.6</v>
      </c>
      <c r="G99" s="29">
        <v>383722</v>
      </c>
      <c r="H99" s="29"/>
      <c r="I99" s="15">
        <f t="shared" si="4"/>
        <v>455316.1</v>
      </c>
      <c r="J99" s="29">
        <f>5888.9+32911.5-1484.3</f>
        <v>37316.1</v>
      </c>
      <c r="K99" s="29">
        <v>418000</v>
      </c>
      <c r="L99" s="29"/>
      <c r="M99" s="29"/>
    </row>
    <row r="100" spans="1:13" ht="38.25" customHeight="1" x14ac:dyDescent="0.25">
      <c r="A100" s="67" t="s">
        <v>36</v>
      </c>
      <c r="B100" s="69" t="s">
        <v>150</v>
      </c>
      <c r="C100" s="67" t="s">
        <v>22</v>
      </c>
      <c r="D100" s="68" t="s">
        <v>151</v>
      </c>
      <c r="E100" s="15">
        <f t="shared" si="3"/>
        <v>23344.5</v>
      </c>
      <c r="F100" s="17">
        <v>1167.2</v>
      </c>
      <c r="G100" s="17">
        <v>22177.3</v>
      </c>
      <c r="H100" s="29"/>
      <c r="I100" s="15">
        <f t="shared" si="4"/>
        <v>27000.1</v>
      </c>
      <c r="J100" s="17">
        <f>1350+0.1</f>
        <v>1350.1</v>
      </c>
      <c r="K100" s="17">
        <v>25650</v>
      </c>
      <c r="L100" s="29"/>
      <c r="M100" s="29"/>
    </row>
    <row r="101" spans="1:13" ht="33.75" customHeight="1" x14ac:dyDescent="0.25">
      <c r="A101" s="67" t="s">
        <v>36</v>
      </c>
      <c r="B101" s="69" t="s">
        <v>152</v>
      </c>
      <c r="C101" s="67" t="s">
        <v>22</v>
      </c>
      <c r="D101" s="68" t="s">
        <v>153</v>
      </c>
      <c r="E101" s="15">
        <f t="shared" si="3"/>
        <v>16457.3</v>
      </c>
      <c r="F101" s="17">
        <v>822.9</v>
      </c>
      <c r="G101" s="17">
        <v>15634.4</v>
      </c>
      <c r="H101" s="29"/>
      <c r="I101" s="15">
        <f t="shared" si="4"/>
        <v>16466.400000000001</v>
      </c>
      <c r="J101" s="17">
        <f>827.4+0.1-4.1</f>
        <v>823.4</v>
      </c>
      <c r="K101" s="17">
        <f>15721.6-78.6</f>
        <v>15643</v>
      </c>
      <c r="L101" s="29"/>
      <c r="M101" s="29"/>
    </row>
    <row r="102" spans="1:13" ht="50.25" customHeight="1" x14ac:dyDescent="0.25">
      <c r="A102" s="67" t="s">
        <v>36</v>
      </c>
      <c r="B102" s="69" t="s">
        <v>154</v>
      </c>
      <c r="C102" s="67" t="s">
        <v>22</v>
      </c>
      <c r="D102" s="68" t="s">
        <v>155</v>
      </c>
      <c r="E102" s="15">
        <f t="shared" si="3"/>
        <v>19431.399999999998</v>
      </c>
      <c r="F102" s="17">
        <v>971.6</v>
      </c>
      <c r="G102" s="17">
        <v>18459.8</v>
      </c>
      <c r="H102" s="29"/>
      <c r="I102" s="15">
        <f t="shared" si="4"/>
        <v>20000</v>
      </c>
      <c r="J102" s="17">
        <v>1000</v>
      </c>
      <c r="K102" s="17">
        <v>19000</v>
      </c>
      <c r="L102" s="29"/>
      <c r="M102" s="29"/>
    </row>
    <row r="103" spans="1:13" ht="52.5" customHeight="1" x14ac:dyDescent="0.25">
      <c r="A103" s="67" t="s">
        <v>36</v>
      </c>
      <c r="B103" s="69" t="s">
        <v>156</v>
      </c>
      <c r="C103" s="67" t="s">
        <v>22</v>
      </c>
      <c r="D103" s="68" t="s">
        <v>157</v>
      </c>
      <c r="E103" s="15">
        <f t="shared" si="3"/>
        <v>4119.3999999999996</v>
      </c>
      <c r="F103" s="17">
        <v>206</v>
      </c>
      <c r="G103" s="17">
        <v>3913.4</v>
      </c>
      <c r="H103" s="29"/>
      <c r="I103" s="15">
        <f t="shared" si="4"/>
        <v>4721.8</v>
      </c>
      <c r="J103" s="17">
        <f>252.5-16.4</f>
        <v>236.1</v>
      </c>
      <c r="K103" s="17">
        <f>4797.5-311.8</f>
        <v>4485.7</v>
      </c>
      <c r="L103" s="29"/>
      <c r="M103" s="29"/>
    </row>
    <row r="104" spans="1:13" ht="53.25" customHeight="1" x14ac:dyDescent="0.25">
      <c r="A104" s="67" t="s">
        <v>36</v>
      </c>
      <c r="B104" s="69" t="s">
        <v>158</v>
      </c>
      <c r="C104" s="67" t="s">
        <v>22</v>
      </c>
      <c r="D104" s="68" t="s">
        <v>159</v>
      </c>
      <c r="E104" s="15">
        <f t="shared" si="3"/>
        <v>1486.3999999999999</v>
      </c>
      <c r="F104" s="17">
        <v>74.3</v>
      </c>
      <c r="G104" s="17">
        <v>1412.1</v>
      </c>
      <c r="H104" s="29"/>
      <c r="I104" s="15">
        <f t="shared" si="4"/>
        <v>2810.3</v>
      </c>
      <c r="J104" s="17">
        <f>150-75.7</f>
        <v>74.3</v>
      </c>
      <c r="K104" s="17">
        <f>2850-114</f>
        <v>2736</v>
      </c>
      <c r="L104" s="29"/>
      <c r="M104" s="29"/>
    </row>
    <row r="105" spans="1:13" ht="52.5" customHeight="1" x14ac:dyDescent="0.25">
      <c r="A105" s="67" t="s">
        <v>36</v>
      </c>
      <c r="B105" s="69" t="s">
        <v>160</v>
      </c>
      <c r="C105" s="67" t="s">
        <v>22</v>
      </c>
      <c r="D105" s="68" t="s">
        <v>161</v>
      </c>
      <c r="E105" s="15">
        <f t="shared" si="3"/>
        <v>10051.300000000001</v>
      </c>
      <c r="F105" s="17">
        <v>502.6</v>
      </c>
      <c r="G105" s="17">
        <v>9548.7000000000007</v>
      </c>
      <c r="H105" s="29"/>
      <c r="I105" s="15">
        <f t="shared" si="4"/>
        <v>10051.300000000001</v>
      </c>
      <c r="J105" s="17">
        <f>537.5-34.9</f>
        <v>502.6</v>
      </c>
      <c r="K105" s="17">
        <f>10212.5-663.8</f>
        <v>9548.7000000000007</v>
      </c>
      <c r="L105" s="29"/>
      <c r="M105" s="29"/>
    </row>
    <row r="106" spans="1:13" s="22" customFormat="1" ht="37.5" customHeight="1" x14ac:dyDescent="0.25">
      <c r="A106" s="67" t="s">
        <v>36</v>
      </c>
      <c r="B106" s="69" t="s">
        <v>162</v>
      </c>
      <c r="C106" s="67" t="s">
        <v>22</v>
      </c>
      <c r="D106" s="68" t="s">
        <v>163</v>
      </c>
      <c r="E106" s="15">
        <f t="shared" si="3"/>
        <v>2707.1000000000004</v>
      </c>
      <c r="F106" s="17">
        <v>135.30000000000001</v>
      </c>
      <c r="G106" s="17">
        <v>2571.8000000000002</v>
      </c>
      <c r="H106" s="29"/>
      <c r="I106" s="15">
        <f t="shared" si="4"/>
        <v>2998.1</v>
      </c>
      <c r="J106" s="17">
        <f>150-1.9</f>
        <v>148.1</v>
      </c>
      <c r="K106" s="17">
        <v>2850</v>
      </c>
      <c r="L106" s="29"/>
      <c r="M106" s="29"/>
    </row>
    <row r="107" spans="1:13" ht="37.5" customHeight="1" x14ac:dyDescent="0.25">
      <c r="A107" s="67" t="s">
        <v>36</v>
      </c>
      <c r="B107" s="69" t="s">
        <v>164</v>
      </c>
      <c r="C107" s="67" t="s">
        <v>22</v>
      </c>
      <c r="D107" s="68" t="s">
        <v>165</v>
      </c>
      <c r="E107" s="15">
        <f t="shared" si="3"/>
        <v>19700</v>
      </c>
      <c r="F107" s="17">
        <v>985</v>
      </c>
      <c r="G107" s="17">
        <v>18715</v>
      </c>
      <c r="H107" s="29"/>
      <c r="I107" s="15">
        <f t="shared" si="4"/>
        <v>19700</v>
      </c>
      <c r="J107" s="17">
        <f>1000-15</f>
        <v>985</v>
      </c>
      <c r="K107" s="17">
        <f>19000-285</f>
        <v>18715</v>
      </c>
      <c r="L107" s="29"/>
      <c r="M107" s="29"/>
    </row>
    <row r="108" spans="1:13" ht="51.75" customHeight="1" x14ac:dyDescent="0.25">
      <c r="A108" s="67" t="s">
        <v>36</v>
      </c>
      <c r="B108" s="69" t="s">
        <v>166</v>
      </c>
      <c r="C108" s="67" t="s">
        <v>22</v>
      </c>
      <c r="D108" s="68" t="s">
        <v>167</v>
      </c>
      <c r="E108" s="15">
        <f t="shared" si="3"/>
        <v>40116.5</v>
      </c>
      <c r="F108" s="17">
        <v>40116.5</v>
      </c>
      <c r="G108" s="17"/>
      <c r="H108" s="29"/>
      <c r="I108" s="15">
        <f t="shared" si="4"/>
        <v>70000</v>
      </c>
      <c r="J108" s="17">
        <v>70000</v>
      </c>
      <c r="K108" s="17"/>
      <c r="L108" s="29"/>
      <c r="M108" s="29"/>
    </row>
    <row r="109" spans="1:13" ht="68.25" customHeight="1" x14ac:dyDescent="0.25">
      <c r="A109" s="67" t="s">
        <v>36</v>
      </c>
      <c r="B109" s="67" t="s">
        <v>166</v>
      </c>
      <c r="C109" s="67" t="s">
        <v>22</v>
      </c>
      <c r="D109" s="23" t="s">
        <v>168</v>
      </c>
      <c r="E109" s="15">
        <f>SUM(F109:H109)</f>
        <v>99674.6</v>
      </c>
      <c r="F109" s="41">
        <v>99674.6</v>
      </c>
      <c r="G109" s="29"/>
      <c r="H109" s="42"/>
      <c r="I109" s="15">
        <f>SUM(J109:L109)</f>
        <v>100000</v>
      </c>
      <c r="J109" s="41">
        <f>9144.1+100000-9144.1</f>
        <v>100000</v>
      </c>
      <c r="K109" s="29"/>
      <c r="L109" s="42"/>
      <c r="M109" s="42"/>
    </row>
    <row r="110" spans="1:13" ht="39.75" customHeight="1" x14ac:dyDescent="0.25">
      <c r="A110" s="67" t="s">
        <v>36</v>
      </c>
      <c r="B110" s="67" t="s">
        <v>166</v>
      </c>
      <c r="C110" s="67" t="s">
        <v>22</v>
      </c>
      <c r="D110" s="23" t="s">
        <v>169</v>
      </c>
      <c r="E110" s="15">
        <f>SUM(F110:H110)</f>
        <v>55765.1</v>
      </c>
      <c r="F110" s="41">
        <v>55765.1</v>
      </c>
      <c r="G110" s="29"/>
      <c r="H110" s="42"/>
      <c r="I110" s="15">
        <f>SUM(J110:L110)</f>
        <v>108691.3</v>
      </c>
      <c r="J110" s="41">
        <f>94766+22034-8108.7</f>
        <v>108691.3</v>
      </c>
      <c r="K110" s="29"/>
      <c r="L110" s="42"/>
      <c r="M110" s="42"/>
    </row>
    <row r="111" spans="1:13" ht="39" customHeight="1" x14ac:dyDescent="0.25">
      <c r="A111" s="67" t="s">
        <v>36</v>
      </c>
      <c r="B111" s="67" t="s">
        <v>166</v>
      </c>
      <c r="C111" s="67" t="s">
        <v>22</v>
      </c>
      <c r="D111" s="23" t="s">
        <v>170</v>
      </c>
      <c r="E111" s="15">
        <f>SUM(F111:H111)</f>
        <v>27562.3</v>
      </c>
      <c r="F111" s="15">
        <v>27562.3</v>
      </c>
      <c r="G111" s="29"/>
      <c r="H111" s="42"/>
      <c r="I111" s="15">
        <f>SUM(J111:L111)</f>
        <v>29753</v>
      </c>
      <c r="J111" s="15">
        <f>910+28843</f>
        <v>29753</v>
      </c>
      <c r="K111" s="29"/>
      <c r="L111" s="42"/>
      <c r="M111" s="42"/>
    </row>
    <row r="112" spans="1:13" ht="29.25" customHeight="1" x14ac:dyDescent="0.25">
      <c r="A112" s="95" t="s">
        <v>36</v>
      </c>
      <c r="B112" s="69" t="s">
        <v>166</v>
      </c>
      <c r="C112" s="95" t="s">
        <v>22</v>
      </c>
      <c r="D112" s="75" t="s">
        <v>35</v>
      </c>
      <c r="E112" s="43">
        <f t="shared" si="3"/>
        <v>1057.8</v>
      </c>
      <c r="F112" s="29">
        <v>1057.8</v>
      </c>
      <c r="G112" s="29"/>
      <c r="H112" s="29"/>
      <c r="I112" s="43">
        <f t="shared" ref="I112:I136" si="5">J112+K112</f>
        <v>1699.8</v>
      </c>
      <c r="J112" s="29">
        <f>100+1400-700-0.1-0.1+100+800</f>
        <v>1699.8</v>
      </c>
      <c r="K112" s="29"/>
      <c r="L112" s="29"/>
      <c r="M112" s="29"/>
    </row>
    <row r="113" spans="1:15" ht="29.25" customHeight="1" x14ac:dyDescent="0.25">
      <c r="A113" s="96"/>
      <c r="B113" s="69" t="s">
        <v>171</v>
      </c>
      <c r="C113" s="96"/>
      <c r="D113" s="76"/>
      <c r="E113" s="43">
        <f t="shared" si="3"/>
        <v>429.3</v>
      </c>
      <c r="F113" s="29">
        <v>429.3</v>
      </c>
      <c r="G113" s="29"/>
      <c r="H113" s="29"/>
      <c r="I113" s="43">
        <f t="shared" si="5"/>
        <v>429.3</v>
      </c>
      <c r="J113" s="29">
        <v>429.3</v>
      </c>
      <c r="K113" s="29"/>
      <c r="L113" s="29"/>
      <c r="M113" s="29"/>
    </row>
    <row r="114" spans="1:15" ht="24" customHeight="1" x14ac:dyDescent="0.25">
      <c r="A114" s="9" t="s">
        <v>54</v>
      </c>
      <c r="B114" s="9"/>
      <c r="C114" s="9"/>
      <c r="D114" s="61" t="s">
        <v>55</v>
      </c>
      <c r="E114" s="7">
        <f t="shared" si="3"/>
        <v>449132.30000000005</v>
      </c>
      <c r="F114" s="7">
        <f>F115+F124+F136</f>
        <v>294157.30000000005</v>
      </c>
      <c r="G114" s="7">
        <f>G115+G124+G136</f>
        <v>154975</v>
      </c>
      <c r="H114" s="7"/>
      <c r="I114" s="7">
        <f t="shared" si="5"/>
        <v>452879</v>
      </c>
      <c r="J114" s="7">
        <f>J115+J124+J136</f>
        <v>297904</v>
      </c>
      <c r="K114" s="7">
        <f>K115+K124+K136</f>
        <v>154975</v>
      </c>
      <c r="L114" s="7"/>
      <c r="M114" s="7"/>
    </row>
    <row r="115" spans="1:15" ht="24" customHeight="1" x14ac:dyDescent="0.25">
      <c r="A115" s="9" t="s">
        <v>56</v>
      </c>
      <c r="B115" s="9"/>
      <c r="C115" s="9"/>
      <c r="D115" s="19" t="s">
        <v>57</v>
      </c>
      <c r="E115" s="7">
        <f>F115+G115</f>
        <v>118898.70000000001</v>
      </c>
      <c r="F115" s="7">
        <f>SUM(F116:F123)</f>
        <v>55004.700000000004</v>
      </c>
      <c r="G115" s="7">
        <f>SUM(G116:G123)</f>
        <v>63894</v>
      </c>
      <c r="H115" s="7"/>
      <c r="I115" s="7">
        <f t="shared" si="5"/>
        <v>119902.29999999999</v>
      </c>
      <c r="J115" s="7">
        <f>SUM(J116:J123)</f>
        <v>56008.299999999996</v>
      </c>
      <c r="K115" s="7">
        <f>SUM(K116:K123)</f>
        <v>63894</v>
      </c>
      <c r="L115" s="7"/>
      <c r="M115" s="7"/>
    </row>
    <row r="116" spans="1:15" s="22" customFormat="1" ht="23.25" customHeight="1" x14ac:dyDescent="0.25">
      <c r="A116" s="98" t="s">
        <v>56</v>
      </c>
      <c r="B116" s="69" t="s">
        <v>172</v>
      </c>
      <c r="C116" s="98" t="s">
        <v>22</v>
      </c>
      <c r="D116" s="97" t="s">
        <v>173</v>
      </c>
      <c r="E116" s="15">
        <f t="shared" si="3"/>
        <v>7099</v>
      </c>
      <c r="F116" s="15">
        <v>7099</v>
      </c>
      <c r="G116" s="15"/>
      <c r="H116" s="15"/>
      <c r="I116" s="15">
        <f t="shared" si="5"/>
        <v>8099</v>
      </c>
      <c r="J116" s="15">
        <f>3837+4262</f>
        <v>8099</v>
      </c>
      <c r="K116" s="15"/>
      <c r="L116" s="15"/>
      <c r="M116" s="15"/>
    </row>
    <row r="117" spans="1:15" s="22" customFormat="1" ht="22.5" customHeight="1" x14ac:dyDescent="0.25">
      <c r="A117" s="98"/>
      <c r="B117" s="69" t="s">
        <v>174</v>
      </c>
      <c r="C117" s="98"/>
      <c r="D117" s="97"/>
      <c r="E117" s="15">
        <f t="shared" si="3"/>
        <v>63894</v>
      </c>
      <c r="F117" s="15"/>
      <c r="G117" s="15">
        <v>63894</v>
      </c>
      <c r="H117" s="15"/>
      <c r="I117" s="15">
        <f t="shared" si="5"/>
        <v>63894</v>
      </c>
      <c r="J117" s="15"/>
      <c r="K117" s="15">
        <f>72894-9000</f>
        <v>63894</v>
      </c>
      <c r="L117" s="15"/>
      <c r="M117" s="15"/>
      <c r="O117" s="44"/>
    </row>
    <row r="118" spans="1:15" s="22" customFormat="1" ht="33.75" customHeight="1" x14ac:dyDescent="0.25">
      <c r="A118" s="69" t="s">
        <v>56</v>
      </c>
      <c r="B118" s="69" t="s">
        <v>175</v>
      </c>
      <c r="C118" s="69" t="s">
        <v>22</v>
      </c>
      <c r="D118" s="68" t="s">
        <v>176</v>
      </c>
      <c r="E118" s="15">
        <f>F118+G118</f>
        <v>862.4</v>
      </c>
      <c r="F118" s="15">
        <v>862.4</v>
      </c>
      <c r="G118" s="15"/>
      <c r="H118" s="15"/>
      <c r="I118" s="15">
        <f t="shared" si="5"/>
        <v>862.8</v>
      </c>
      <c r="J118" s="15">
        <f>1218-355.2</f>
        <v>862.8</v>
      </c>
      <c r="K118" s="15"/>
      <c r="L118" s="15"/>
      <c r="M118" s="15"/>
    </row>
    <row r="119" spans="1:15" s="22" customFormat="1" ht="37.5" customHeight="1" x14ac:dyDescent="0.25">
      <c r="A119" s="69" t="s">
        <v>56</v>
      </c>
      <c r="B119" s="69" t="s">
        <v>175</v>
      </c>
      <c r="C119" s="69" t="s">
        <v>22</v>
      </c>
      <c r="D119" s="68" t="s">
        <v>177</v>
      </c>
      <c r="E119" s="15">
        <f>F119+G119</f>
        <v>19926.900000000001</v>
      </c>
      <c r="F119" s="15">
        <v>19926.900000000001</v>
      </c>
      <c r="G119" s="15"/>
      <c r="H119" s="15"/>
      <c r="I119" s="15">
        <f t="shared" si="5"/>
        <v>19926.899999999998</v>
      </c>
      <c r="J119" s="15">
        <f>3000+5000+2880.6+7000-3000+5046.3</f>
        <v>19926.899999999998</v>
      </c>
      <c r="K119" s="15"/>
      <c r="L119" s="15"/>
      <c r="M119" s="15"/>
    </row>
    <row r="120" spans="1:15" s="22" customFormat="1" ht="36" customHeight="1" x14ac:dyDescent="0.25">
      <c r="A120" s="69" t="s">
        <v>56</v>
      </c>
      <c r="B120" s="69" t="s">
        <v>175</v>
      </c>
      <c r="C120" s="69" t="s">
        <v>22</v>
      </c>
      <c r="D120" s="68" t="s">
        <v>178</v>
      </c>
      <c r="E120" s="15">
        <f>F120+G120</f>
        <v>8296.7999999999993</v>
      </c>
      <c r="F120" s="15">
        <v>8296.7999999999993</v>
      </c>
      <c r="G120" s="15"/>
      <c r="H120" s="15"/>
      <c r="I120" s="15">
        <f t="shared" si="5"/>
        <v>8300</v>
      </c>
      <c r="J120" s="15">
        <v>8300</v>
      </c>
      <c r="K120" s="15"/>
      <c r="L120" s="15"/>
      <c r="M120" s="15"/>
    </row>
    <row r="121" spans="1:15" s="22" customFormat="1" ht="36" customHeight="1" x14ac:dyDescent="0.25">
      <c r="A121" s="69" t="s">
        <v>56</v>
      </c>
      <c r="B121" s="69" t="s">
        <v>175</v>
      </c>
      <c r="C121" s="69" t="s">
        <v>22</v>
      </c>
      <c r="D121" s="68" t="s">
        <v>179</v>
      </c>
      <c r="E121" s="15">
        <f>F121+G121</f>
        <v>6562</v>
      </c>
      <c r="F121" s="15">
        <v>6562</v>
      </c>
      <c r="G121" s="15"/>
      <c r="H121" s="15"/>
      <c r="I121" s="15">
        <f t="shared" si="5"/>
        <v>6562</v>
      </c>
      <c r="J121" s="15">
        <f>9474-2912</f>
        <v>6562</v>
      </c>
      <c r="K121" s="15"/>
      <c r="L121" s="15"/>
      <c r="M121" s="15"/>
    </row>
    <row r="122" spans="1:15" s="22" customFormat="1" ht="36" customHeight="1" x14ac:dyDescent="0.25">
      <c r="A122" s="69" t="s">
        <v>56</v>
      </c>
      <c r="B122" s="69" t="s">
        <v>175</v>
      </c>
      <c r="C122" s="69" t="s">
        <v>22</v>
      </c>
      <c r="D122" s="68" t="s">
        <v>180</v>
      </c>
      <c r="E122" s="15">
        <f>F122+G122</f>
        <v>12000</v>
      </c>
      <c r="F122" s="15">
        <v>12000</v>
      </c>
      <c r="G122" s="15"/>
      <c r="H122" s="15"/>
      <c r="I122" s="15">
        <f t="shared" si="5"/>
        <v>12000</v>
      </c>
      <c r="J122" s="15">
        <v>12000</v>
      </c>
      <c r="K122" s="15"/>
      <c r="L122" s="15"/>
      <c r="M122" s="15"/>
    </row>
    <row r="123" spans="1:15" s="22" customFormat="1" ht="32.25" customHeight="1" x14ac:dyDescent="0.25">
      <c r="A123" s="69" t="s">
        <v>56</v>
      </c>
      <c r="B123" s="69" t="s">
        <v>175</v>
      </c>
      <c r="C123" s="69" t="s">
        <v>22</v>
      </c>
      <c r="D123" s="68" t="s">
        <v>53</v>
      </c>
      <c r="E123" s="15">
        <f t="shared" si="3"/>
        <v>257.60000000000002</v>
      </c>
      <c r="F123" s="15">
        <v>257.60000000000002</v>
      </c>
      <c r="G123" s="15"/>
      <c r="H123" s="15"/>
      <c r="I123" s="15">
        <f t="shared" si="5"/>
        <v>257.60000000000002</v>
      </c>
      <c r="J123" s="15">
        <f>100+100+712-654.4</f>
        <v>257.60000000000002</v>
      </c>
      <c r="K123" s="15"/>
      <c r="L123" s="15"/>
      <c r="M123" s="15"/>
    </row>
    <row r="124" spans="1:15" s="22" customFormat="1" ht="29.25" customHeight="1" x14ac:dyDescent="0.25">
      <c r="A124" s="9" t="s">
        <v>181</v>
      </c>
      <c r="B124" s="9"/>
      <c r="C124" s="9"/>
      <c r="D124" s="19" t="s">
        <v>182</v>
      </c>
      <c r="E124" s="7">
        <f t="shared" si="3"/>
        <v>330126.60000000003</v>
      </c>
      <c r="F124" s="7">
        <f>SUM(F125:F135)</f>
        <v>239045.60000000003</v>
      </c>
      <c r="G124" s="7">
        <f>SUM(G125:G135)</f>
        <v>91081</v>
      </c>
      <c r="H124" s="7"/>
      <c r="I124" s="7">
        <f t="shared" si="5"/>
        <v>331179.7</v>
      </c>
      <c r="J124" s="7">
        <f>SUM(J125:J135)</f>
        <v>240098.7</v>
      </c>
      <c r="K124" s="7">
        <f>SUM(K125:K135)</f>
        <v>91081</v>
      </c>
      <c r="L124" s="7"/>
      <c r="M124" s="7"/>
    </row>
    <row r="125" spans="1:15" s="22" customFormat="1" ht="21.75" customHeight="1" x14ac:dyDescent="0.25">
      <c r="A125" s="98" t="s">
        <v>181</v>
      </c>
      <c r="B125" s="69" t="s">
        <v>183</v>
      </c>
      <c r="C125" s="98" t="s">
        <v>22</v>
      </c>
      <c r="D125" s="97" t="s">
        <v>184</v>
      </c>
      <c r="E125" s="15">
        <f t="shared" si="3"/>
        <v>20304.400000000001</v>
      </c>
      <c r="F125" s="15">
        <v>20304.400000000001</v>
      </c>
      <c r="G125" s="15"/>
      <c r="H125" s="15"/>
      <c r="I125" s="15">
        <f t="shared" si="5"/>
        <v>20304.400000000001</v>
      </c>
      <c r="J125" s="15">
        <f>43333.3-8188-9552.9+20000-616-1672-43000+20000</f>
        <v>20304.400000000001</v>
      </c>
      <c r="K125" s="15"/>
      <c r="L125" s="15"/>
      <c r="M125" s="15"/>
    </row>
    <row r="126" spans="1:15" s="22" customFormat="1" ht="21" customHeight="1" x14ac:dyDescent="0.25">
      <c r="A126" s="98"/>
      <c r="B126" s="69" t="s">
        <v>185</v>
      </c>
      <c r="C126" s="98"/>
      <c r="D126" s="97"/>
      <c r="E126" s="15">
        <f t="shared" si="3"/>
        <v>9855</v>
      </c>
      <c r="F126" s="15">
        <v>9855</v>
      </c>
      <c r="G126" s="15"/>
      <c r="H126" s="15"/>
      <c r="I126" s="15">
        <f t="shared" si="5"/>
        <v>9855</v>
      </c>
      <c r="J126" s="15">
        <f>1667+8188</f>
        <v>9855</v>
      </c>
      <c r="K126" s="15"/>
      <c r="L126" s="15"/>
      <c r="M126" s="15"/>
    </row>
    <row r="127" spans="1:15" s="22" customFormat="1" ht="21.75" customHeight="1" x14ac:dyDescent="0.25">
      <c r="A127" s="98"/>
      <c r="B127" s="69" t="s">
        <v>186</v>
      </c>
      <c r="C127" s="98"/>
      <c r="D127" s="97"/>
      <c r="E127" s="15">
        <f t="shared" si="3"/>
        <v>88697</v>
      </c>
      <c r="F127" s="15"/>
      <c r="G127" s="15">
        <v>88697</v>
      </c>
      <c r="H127" s="15"/>
      <c r="I127" s="15">
        <f t="shared" si="5"/>
        <v>88697</v>
      </c>
      <c r="J127" s="15"/>
      <c r="K127" s="15">
        <v>88697</v>
      </c>
      <c r="L127" s="15"/>
      <c r="M127" s="15"/>
      <c r="O127" s="44"/>
    </row>
    <row r="128" spans="1:15" s="22" customFormat="1" ht="51.75" customHeight="1" x14ac:dyDescent="0.25">
      <c r="A128" s="69" t="s">
        <v>181</v>
      </c>
      <c r="B128" s="69" t="s">
        <v>183</v>
      </c>
      <c r="C128" s="69" t="s">
        <v>22</v>
      </c>
      <c r="D128" s="68" t="s">
        <v>187</v>
      </c>
      <c r="E128" s="15">
        <f t="shared" si="3"/>
        <v>1811.9</v>
      </c>
      <c r="F128" s="15">
        <v>1811.9</v>
      </c>
      <c r="G128" s="15"/>
      <c r="H128" s="15"/>
      <c r="I128" s="15">
        <f t="shared" si="5"/>
        <v>1811.9</v>
      </c>
      <c r="J128" s="15">
        <f>1000+616+294-98.1</f>
        <v>1811.9</v>
      </c>
      <c r="K128" s="15"/>
      <c r="L128" s="15"/>
      <c r="M128" s="15"/>
    </row>
    <row r="129" spans="1:15" s="22" customFormat="1" ht="42.75" customHeight="1" x14ac:dyDescent="0.25">
      <c r="A129" s="69" t="s">
        <v>181</v>
      </c>
      <c r="B129" s="69" t="s">
        <v>183</v>
      </c>
      <c r="C129" s="69" t="s">
        <v>22</v>
      </c>
      <c r="D129" s="68" t="s">
        <v>188</v>
      </c>
      <c r="E129" s="15">
        <f t="shared" si="3"/>
        <v>35000</v>
      </c>
      <c r="F129" s="15">
        <v>35000</v>
      </c>
      <c r="G129" s="15"/>
      <c r="H129" s="15"/>
      <c r="I129" s="15">
        <f t="shared" si="5"/>
        <v>35000</v>
      </c>
      <c r="J129" s="15">
        <f>5000+938+35000-5938</f>
        <v>35000</v>
      </c>
      <c r="K129" s="15"/>
      <c r="L129" s="15"/>
      <c r="M129" s="15"/>
    </row>
    <row r="130" spans="1:15" s="22" customFormat="1" ht="70.5" customHeight="1" x14ac:dyDescent="0.25">
      <c r="A130" s="45" t="s">
        <v>181</v>
      </c>
      <c r="B130" s="69" t="s">
        <v>189</v>
      </c>
      <c r="C130" s="69" t="s">
        <v>22</v>
      </c>
      <c r="D130" s="23" t="s">
        <v>190</v>
      </c>
      <c r="E130" s="15">
        <f t="shared" si="3"/>
        <v>2648.9</v>
      </c>
      <c r="F130" s="15">
        <v>264.89999999999998</v>
      </c>
      <c r="G130" s="15">
        <v>2384</v>
      </c>
      <c r="H130" s="15"/>
      <c r="I130" s="15">
        <f t="shared" si="5"/>
        <v>2648.9</v>
      </c>
      <c r="J130" s="15">
        <v>264.89999999999998</v>
      </c>
      <c r="K130" s="15">
        <f>95.4+2288.5+0.1</f>
        <v>2384</v>
      </c>
      <c r="L130" s="15"/>
      <c r="M130" s="15"/>
      <c r="O130" s="44"/>
    </row>
    <row r="131" spans="1:15" s="22" customFormat="1" ht="72.75" customHeight="1" x14ac:dyDescent="0.25">
      <c r="A131" s="45" t="s">
        <v>181</v>
      </c>
      <c r="B131" s="69" t="s">
        <v>183</v>
      </c>
      <c r="C131" s="69" t="s">
        <v>22</v>
      </c>
      <c r="D131" s="46" t="s">
        <v>191</v>
      </c>
      <c r="E131" s="15">
        <f t="shared" si="3"/>
        <v>1344.6</v>
      </c>
      <c r="F131" s="15">
        <v>1344.6</v>
      </c>
      <c r="G131" s="15"/>
      <c r="H131" s="15"/>
      <c r="I131" s="15">
        <f t="shared" si="5"/>
        <v>1373.3</v>
      </c>
      <c r="J131" s="15">
        <f>3000-1626.7</f>
        <v>1373.3</v>
      </c>
      <c r="K131" s="15"/>
      <c r="L131" s="15"/>
      <c r="M131" s="15"/>
    </row>
    <row r="132" spans="1:15" s="22" customFormat="1" ht="36" customHeight="1" x14ac:dyDescent="0.25">
      <c r="A132" s="69" t="s">
        <v>181</v>
      </c>
      <c r="B132" s="69" t="s">
        <v>183</v>
      </c>
      <c r="C132" s="69" t="s">
        <v>22</v>
      </c>
      <c r="D132" s="68" t="s">
        <v>192</v>
      </c>
      <c r="E132" s="15">
        <f t="shared" si="3"/>
        <v>0</v>
      </c>
      <c r="F132" s="15">
        <v>0</v>
      </c>
      <c r="G132" s="15"/>
      <c r="H132" s="15"/>
      <c r="I132" s="15">
        <f t="shared" si="5"/>
        <v>100</v>
      </c>
      <c r="J132" s="15">
        <v>100</v>
      </c>
      <c r="K132" s="15"/>
      <c r="L132" s="15"/>
      <c r="M132" s="15"/>
    </row>
    <row r="133" spans="1:15" s="22" customFormat="1" ht="27.75" customHeight="1" x14ac:dyDescent="0.25">
      <c r="A133" s="69" t="s">
        <v>181</v>
      </c>
      <c r="B133" s="69" t="s">
        <v>183</v>
      </c>
      <c r="C133" s="69" t="s">
        <v>22</v>
      </c>
      <c r="D133" s="68" t="s">
        <v>53</v>
      </c>
      <c r="E133" s="15">
        <f t="shared" si="3"/>
        <v>395.1</v>
      </c>
      <c r="F133" s="15">
        <v>395.1</v>
      </c>
      <c r="G133" s="15"/>
      <c r="H133" s="15"/>
      <c r="I133" s="15">
        <f t="shared" si="5"/>
        <v>450</v>
      </c>
      <c r="J133" s="15">
        <f>100+200+150</f>
        <v>450</v>
      </c>
      <c r="K133" s="15"/>
      <c r="L133" s="15"/>
      <c r="M133" s="15"/>
    </row>
    <row r="134" spans="1:15" s="22" customFormat="1" ht="35.25" customHeight="1" x14ac:dyDescent="0.25">
      <c r="A134" s="69" t="s">
        <v>181</v>
      </c>
      <c r="B134" s="69" t="s">
        <v>183</v>
      </c>
      <c r="C134" s="69" t="s">
        <v>22</v>
      </c>
      <c r="D134" s="68" t="s">
        <v>193</v>
      </c>
      <c r="E134" s="15">
        <f t="shared" si="3"/>
        <v>167901.2</v>
      </c>
      <c r="F134" s="15">
        <v>167901.2</v>
      </c>
      <c r="G134" s="15"/>
      <c r="H134" s="15"/>
      <c r="I134" s="15">
        <f t="shared" si="5"/>
        <v>167901.2</v>
      </c>
      <c r="J134" s="15">
        <v>167901.2</v>
      </c>
      <c r="K134" s="15"/>
      <c r="L134" s="15"/>
      <c r="M134" s="15"/>
    </row>
    <row r="135" spans="1:15" s="22" customFormat="1" ht="27.75" customHeight="1" x14ac:dyDescent="0.25">
      <c r="A135" s="69" t="s">
        <v>181</v>
      </c>
      <c r="B135" s="69" t="s">
        <v>183</v>
      </c>
      <c r="C135" s="69" t="s">
        <v>22</v>
      </c>
      <c r="D135" s="68" t="s">
        <v>64</v>
      </c>
      <c r="E135" s="15">
        <f t="shared" si="3"/>
        <v>2168.5</v>
      </c>
      <c r="F135" s="15">
        <v>2168.5</v>
      </c>
      <c r="G135" s="15"/>
      <c r="H135" s="15"/>
      <c r="I135" s="15">
        <f t="shared" si="5"/>
        <v>3038</v>
      </c>
      <c r="J135" s="15">
        <f>5251-2213</f>
        <v>3038</v>
      </c>
      <c r="K135" s="15"/>
      <c r="L135" s="15"/>
      <c r="M135" s="15"/>
    </row>
    <row r="136" spans="1:15" s="22" customFormat="1" ht="22.5" customHeight="1" x14ac:dyDescent="0.25">
      <c r="A136" s="9" t="s">
        <v>61</v>
      </c>
      <c r="B136" s="20"/>
      <c r="C136" s="69"/>
      <c r="D136" s="21" t="s">
        <v>62</v>
      </c>
      <c r="E136" s="7">
        <f t="shared" si="3"/>
        <v>107</v>
      </c>
      <c r="F136" s="7">
        <f>SUM(F137:F138)</f>
        <v>107</v>
      </c>
      <c r="G136" s="7"/>
      <c r="H136" s="7"/>
      <c r="I136" s="7">
        <f t="shared" si="5"/>
        <v>1797</v>
      </c>
      <c r="J136" s="7">
        <f>SUM(J137:J138)</f>
        <v>1797</v>
      </c>
      <c r="K136" s="7"/>
      <c r="L136" s="7"/>
      <c r="M136" s="7"/>
    </row>
    <row r="137" spans="1:15" s="22" customFormat="1" ht="24" customHeight="1" x14ac:dyDescent="0.25">
      <c r="A137" s="69" t="s">
        <v>61</v>
      </c>
      <c r="B137" s="69" t="s">
        <v>194</v>
      </c>
      <c r="C137" s="69" t="s">
        <v>22</v>
      </c>
      <c r="D137" s="68" t="s">
        <v>53</v>
      </c>
      <c r="E137" s="15">
        <f>F137+G137+J8</f>
        <v>107</v>
      </c>
      <c r="F137" s="15">
        <v>107</v>
      </c>
      <c r="G137" s="15"/>
      <c r="H137" s="15"/>
      <c r="I137" s="15" t="e">
        <f>J137+K137+#REF!</f>
        <v>#REF!</v>
      </c>
      <c r="J137" s="15">
        <f>100+100-93</f>
        <v>107</v>
      </c>
      <c r="K137" s="15"/>
      <c r="L137" s="15"/>
      <c r="M137" s="15"/>
    </row>
    <row r="138" spans="1:15" s="22" customFormat="1" ht="30.75" customHeight="1" x14ac:dyDescent="0.25">
      <c r="A138" s="69" t="s">
        <v>61</v>
      </c>
      <c r="B138" s="69" t="s">
        <v>194</v>
      </c>
      <c r="C138" s="69" t="s">
        <v>22</v>
      </c>
      <c r="D138" s="68" t="s">
        <v>64</v>
      </c>
      <c r="E138" s="15">
        <f t="shared" ref="E138:E172" si="6">F138+G138</f>
        <v>0</v>
      </c>
      <c r="F138" s="15">
        <v>0</v>
      </c>
      <c r="G138" s="15"/>
      <c r="H138" s="15"/>
      <c r="I138" s="15">
        <f t="shared" ref="I138:I172" si="7">J138+K138</f>
        <v>1690</v>
      </c>
      <c r="J138" s="15">
        <f>2615-925+490-490</f>
        <v>1690</v>
      </c>
      <c r="K138" s="15"/>
      <c r="L138" s="15"/>
      <c r="M138" s="15"/>
    </row>
    <row r="139" spans="1:15" s="22" customFormat="1" ht="22.5" customHeight="1" x14ac:dyDescent="0.25">
      <c r="A139" s="9" t="s">
        <v>65</v>
      </c>
      <c r="B139" s="69"/>
      <c r="C139" s="69"/>
      <c r="D139" s="61" t="s">
        <v>66</v>
      </c>
      <c r="E139" s="7">
        <f t="shared" si="6"/>
        <v>85634.900000000009</v>
      </c>
      <c r="F139" s="7">
        <f>F140+F145</f>
        <v>74186.3</v>
      </c>
      <c r="G139" s="7">
        <f>G140+G145</f>
        <v>11448.6</v>
      </c>
      <c r="H139" s="7"/>
      <c r="I139" s="7">
        <f t="shared" si="7"/>
        <v>95725</v>
      </c>
      <c r="J139" s="7">
        <f>J140+J145</f>
        <v>77976.100000000006</v>
      </c>
      <c r="K139" s="7">
        <f>K140+K145</f>
        <v>17748.900000000001</v>
      </c>
      <c r="L139" s="7"/>
      <c r="M139" s="7"/>
    </row>
    <row r="140" spans="1:15" s="22" customFormat="1" ht="22.5" customHeight="1" x14ac:dyDescent="0.25">
      <c r="A140" s="9" t="s">
        <v>67</v>
      </c>
      <c r="B140" s="9"/>
      <c r="C140" s="9"/>
      <c r="D140" s="61" t="s">
        <v>68</v>
      </c>
      <c r="E140" s="7">
        <f t="shared" si="6"/>
        <v>58193.7</v>
      </c>
      <c r="F140" s="7">
        <f>SUM(F141:F144)</f>
        <v>58193.7</v>
      </c>
      <c r="G140" s="7"/>
      <c r="H140" s="7"/>
      <c r="I140" s="7">
        <f t="shared" si="7"/>
        <v>59154</v>
      </c>
      <c r="J140" s="7">
        <f>SUM(J141:J144)</f>
        <v>59154</v>
      </c>
      <c r="K140" s="7"/>
      <c r="L140" s="7"/>
      <c r="M140" s="7"/>
    </row>
    <row r="141" spans="1:15" s="22" customFormat="1" ht="27" customHeight="1" x14ac:dyDescent="0.25">
      <c r="A141" s="69" t="s">
        <v>67</v>
      </c>
      <c r="B141" s="69" t="s">
        <v>195</v>
      </c>
      <c r="C141" s="69" t="s">
        <v>22</v>
      </c>
      <c r="D141" s="68" t="s">
        <v>53</v>
      </c>
      <c r="E141" s="15">
        <f t="shared" si="6"/>
        <v>93</v>
      </c>
      <c r="F141" s="15">
        <v>93</v>
      </c>
      <c r="G141" s="15"/>
      <c r="H141" s="15"/>
      <c r="I141" s="15">
        <f t="shared" si="7"/>
        <v>5100</v>
      </c>
      <c r="J141" s="15">
        <f>100+100+4900</f>
        <v>5100</v>
      </c>
      <c r="K141" s="15"/>
      <c r="L141" s="15"/>
      <c r="M141" s="15"/>
    </row>
    <row r="142" spans="1:15" s="22" customFormat="1" ht="31.5" customHeight="1" x14ac:dyDescent="0.25">
      <c r="A142" s="69" t="s">
        <v>67</v>
      </c>
      <c r="B142" s="69" t="s">
        <v>196</v>
      </c>
      <c r="C142" s="69" t="s">
        <v>22</v>
      </c>
      <c r="D142" s="68" t="s">
        <v>197</v>
      </c>
      <c r="E142" s="15">
        <f t="shared" si="6"/>
        <v>49850</v>
      </c>
      <c r="F142" s="15">
        <v>49850</v>
      </c>
      <c r="G142" s="15"/>
      <c r="H142" s="15"/>
      <c r="I142" s="15">
        <f t="shared" si="7"/>
        <v>50000</v>
      </c>
      <c r="J142" s="15">
        <v>50000</v>
      </c>
      <c r="K142" s="15"/>
      <c r="L142" s="15"/>
      <c r="M142" s="15"/>
    </row>
    <row r="143" spans="1:15" s="22" customFormat="1" ht="26.25" customHeight="1" x14ac:dyDescent="0.25">
      <c r="A143" s="69" t="s">
        <v>67</v>
      </c>
      <c r="B143" s="69" t="s">
        <v>196</v>
      </c>
      <c r="C143" s="69" t="s">
        <v>22</v>
      </c>
      <c r="D143" s="68" t="s">
        <v>53</v>
      </c>
      <c r="E143" s="15">
        <f t="shared" si="6"/>
        <v>4988.7</v>
      </c>
      <c r="F143" s="15">
        <v>4988.7</v>
      </c>
      <c r="G143" s="15"/>
      <c r="H143" s="15"/>
      <c r="I143" s="15">
        <f t="shared" si="7"/>
        <v>54</v>
      </c>
      <c r="J143" s="15">
        <f>96-42</f>
        <v>54</v>
      </c>
      <c r="K143" s="15"/>
      <c r="L143" s="15"/>
      <c r="M143" s="15"/>
    </row>
    <row r="144" spans="1:15" s="22" customFormat="1" ht="24" customHeight="1" x14ac:dyDescent="0.25">
      <c r="A144" s="69" t="s">
        <v>67</v>
      </c>
      <c r="B144" s="69" t="s">
        <v>196</v>
      </c>
      <c r="C144" s="69" t="s">
        <v>22</v>
      </c>
      <c r="D144" s="68" t="s">
        <v>64</v>
      </c>
      <c r="E144" s="15">
        <f t="shared" si="6"/>
        <v>3262</v>
      </c>
      <c r="F144" s="15">
        <v>3262</v>
      </c>
      <c r="G144" s="15"/>
      <c r="H144" s="15"/>
      <c r="I144" s="15">
        <f t="shared" si="7"/>
        <v>4000</v>
      </c>
      <c r="J144" s="15">
        <v>4000</v>
      </c>
      <c r="K144" s="15"/>
      <c r="L144" s="15"/>
      <c r="M144" s="15"/>
    </row>
    <row r="145" spans="1:15" s="22" customFormat="1" ht="36.75" customHeight="1" x14ac:dyDescent="0.25">
      <c r="A145" s="9" t="s">
        <v>198</v>
      </c>
      <c r="B145" s="11"/>
      <c r="C145" s="9"/>
      <c r="D145" s="61" t="s">
        <v>199</v>
      </c>
      <c r="E145" s="7">
        <f t="shared" si="6"/>
        <v>27441.200000000001</v>
      </c>
      <c r="F145" s="7">
        <f>SUM(F146:F151)</f>
        <v>15992.6</v>
      </c>
      <c r="G145" s="7">
        <f>SUM(G147:G151)</f>
        <v>11448.6</v>
      </c>
      <c r="H145" s="7"/>
      <c r="I145" s="7">
        <f t="shared" si="7"/>
        <v>36571</v>
      </c>
      <c r="J145" s="7">
        <f>SUM(J146:J151)</f>
        <v>18822.099999999999</v>
      </c>
      <c r="K145" s="7">
        <f>SUM(K147:K151)</f>
        <v>17748.900000000001</v>
      </c>
      <c r="L145" s="7"/>
      <c r="M145" s="7"/>
    </row>
    <row r="146" spans="1:15" s="22" customFormat="1" ht="21" customHeight="1" x14ac:dyDescent="0.25">
      <c r="A146" s="86" t="s">
        <v>198</v>
      </c>
      <c r="B146" s="67" t="s">
        <v>200</v>
      </c>
      <c r="C146" s="86" t="s">
        <v>22</v>
      </c>
      <c r="D146" s="88" t="s">
        <v>201</v>
      </c>
      <c r="E146" s="15">
        <f>F146+G146</f>
        <v>7420.6</v>
      </c>
      <c r="F146" s="15">
        <v>7420.6</v>
      </c>
      <c r="G146" s="15"/>
      <c r="H146" s="7"/>
      <c r="I146" s="15">
        <f t="shared" si="7"/>
        <v>7420.6</v>
      </c>
      <c r="J146" s="15">
        <v>7420.6</v>
      </c>
      <c r="K146" s="15"/>
      <c r="L146" s="7"/>
      <c r="M146" s="7"/>
    </row>
    <row r="147" spans="1:15" s="22" customFormat="1" ht="21" customHeight="1" x14ac:dyDescent="0.25">
      <c r="A147" s="99"/>
      <c r="B147" s="67" t="s">
        <v>202</v>
      </c>
      <c r="C147" s="99"/>
      <c r="D147" s="100"/>
      <c r="E147" s="15">
        <f>F147+G147</f>
        <v>1272.0999999999999</v>
      </c>
      <c r="F147" s="15">
        <v>1272.0999999999999</v>
      </c>
      <c r="G147" s="15"/>
      <c r="H147" s="15"/>
      <c r="I147" s="15">
        <f t="shared" si="7"/>
        <v>1972.1</v>
      </c>
      <c r="J147" s="15">
        <v>1972.1</v>
      </c>
      <c r="K147" s="15"/>
      <c r="L147" s="15"/>
      <c r="M147" s="15"/>
    </row>
    <row r="148" spans="1:15" s="22" customFormat="1" ht="21" customHeight="1" x14ac:dyDescent="0.25">
      <c r="A148" s="87"/>
      <c r="B148" s="67" t="s">
        <v>203</v>
      </c>
      <c r="C148" s="87"/>
      <c r="D148" s="89"/>
      <c r="E148" s="15">
        <f t="shared" si="6"/>
        <v>11448.6</v>
      </c>
      <c r="F148" s="15"/>
      <c r="G148" s="15">
        <v>11448.6</v>
      </c>
      <c r="H148" s="15"/>
      <c r="I148" s="15">
        <f t="shared" si="7"/>
        <v>17748.900000000001</v>
      </c>
      <c r="J148" s="15"/>
      <c r="K148" s="15">
        <v>17748.900000000001</v>
      </c>
      <c r="L148" s="15"/>
      <c r="M148" s="15"/>
      <c r="O148" s="44"/>
    </row>
    <row r="149" spans="1:15" s="22" customFormat="1" ht="29.25" customHeight="1" x14ac:dyDescent="0.25">
      <c r="A149" s="64" t="s">
        <v>198</v>
      </c>
      <c r="B149" s="67" t="s">
        <v>200</v>
      </c>
      <c r="C149" s="64" t="s">
        <v>22</v>
      </c>
      <c r="D149" s="65" t="s">
        <v>204</v>
      </c>
      <c r="E149" s="15">
        <f>F149+G149</f>
        <v>988.9</v>
      </c>
      <c r="F149" s="15">
        <v>988.9</v>
      </c>
      <c r="G149" s="15"/>
      <c r="H149" s="15"/>
      <c r="I149" s="15">
        <f t="shared" si="7"/>
        <v>1007.4</v>
      </c>
      <c r="J149" s="15">
        <v>1007.4</v>
      </c>
      <c r="K149" s="15"/>
      <c r="L149" s="15"/>
      <c r="M149" s="15"/>
    </row>
    <row r="150" spans="1:15" s="22" customFormat="1" ht="30" customHeight="1" x14ac:dyDescent="0.25">
      <c r="A150" s="69" t="s">
        <v>198</v>
      </c>
      <c r="B150" s="67" t="s">
        <v>200</v>
      </c>
      <c r="C150" s="69" t="s">
        <v>22</v>
      </c>
      <c r="D150" s="68" t="s">
        <v>53</v>
      </c>
      <c r="E150" s="15">
        <f t="shared" si="6"/>
        <v>33.9</v>
      </c>
      <c r="F150" s="15">
        <v>33.9</v>
      </c>
      <c r="G150" s="15"/>
      <c r="H150" s="15"/>
      <c r="I150" s="15">
        <f t="shared" si="7"/>
        <v>150</v>
      </c>
      <c r="J150" s="15">
        <f>100+50</f>
        <v>150</v>
      </c>
      <c r="K150" s="15"/>
      <c r="L150" s="15"/>
      <c r="M150" s="15"/>
    </row>
    <row r="151" spans="1:15" s="22" customFormat="1" ht="28.5" customHeight="1" x14ac:dyDescent="0.25">
      <c r="A151" s="69" t="s">
        <v>198</v>
      </c>
      <c r="B151" s="67" t="s">
        <v>200</v>
      </c>
      <c r="C151" s="69" t="s">
        <v>22</v>
      </c>
      <c r="D151" s="68" t="s">
        <v>64</v>
      </c>
      <c r="E151" s="15">
        <f t="shared" si="6"/>
        <v>6277.1</v>
      </c>
      <c r="F151" s="15">
        <v>6277.1</v>
      </c>
      <c r="G151" s="15"/>
      <c r="H151" s="15"/>
      <c r="I151" s="15">
        <f t="shared" si="7"/>
        <v>8271.9999999999982</v>
      </c>
      <c r="J151" s="15">
        <f>21600-1007.4-7420.6-4900</f>
        <v>8271.9999999999982</v>
      </c>
      <c r="K151" s="15"/>
      <c r="L151" s="15"/>
      <c r="M151" s="15"/>
    </row>
    <row r="152" spans="1:15" s="22" customFormat="1" ht="25.5" customHeight="1" x14ac:dyDescent="0.25">
      <c r="A152" s="11" t="s">
        <v>77</v>
      </c>
      <c r="B152" s="24"/>
      <c r="C152" s="25"/>
      <c r="D152" s="26" t="s">
        <v>78</v>
      </c>
      <c r="E152" s="7">
        <f t="shared" si="6"/>
        <v>81975</v>
      </c>
      <c r="F152" s="7">
        <f>F153</f>
        <v>29006.7</v>
      </c>
      <c r="G152" s="7">
        <f>G153</f>
        <v>52968.3</v>
      </c>
      <c r="H152" s="7"/>
      <c r="I152" s="7">
        <f t="shared" si="7"/>
        <v>99430.024399999995</v>
      </c>
      <c r="J152" s="7">
        <f>J153</f>
        <v>30311.724399999999</v>
      </c>
      <c r="K152" s="7">
        <f>K153</f>
        <v>69118.3</v>
      </c>
      <c r="L152" s="7"/>
      <c r="M152" s="7"/>
    </row>
    <row r="153" spans="1:15" s="22" customFormat="1" ht="25.5" customHeight="1" x14ac:dyDescent="0.25">
      <c r="A153" s="11" t="s">
        <v>79</v>
      </c>
      <c r="B153" s="24"/>
      <c r="C153" s="25"/>
      <c r="D153" s="62" t="s">
        <v>80</v>
      </c>
      <c r="E153" s="7">
        <f t="shared" si="6"/>
        <v>81975</v>
      </c>
      <c r="F153" s="7">
        <f>SUM(F154:F162)</f>
        <v>29006.7</v>
      </c>
      <c r="G153" s="7">
        <f>SUM(G155:G162)</f>
        <v>52968.3</v>
      </c>
      <c r="H153" s="7"/>
      <c r="I153" s="7">
        <f t="shared" si="7"/>
        <v>99430.024399999995</v>
      </c>
      <c r="J153" s="7">
        <f>SUM(J154:J162)</f>
        <v>30311.724399999999</v>
      </c>
      <c r="K153" s="7">
        <f>SUM(K155:K162)</f>
        <v>69118.3</v>
      </c>
      <c r="L153" s="7"/>
      <c r="M153" s="7"/>
    </row>
    <row r="154" spans="1:15" s="22" customFormat="1" ht="20.25" customHeight="1" x14ac:dyDescent="0.25">
      <c r="A154" s="95" t="s">
        <v>79</v>
      </c>
      <c r="B154" s="67" t="s">
        <v>205</v>
      </c>
      <c r="C154" s="95" t="s">
        <v>22</v>
      </c>
      <c r="D154" s="102" t="s">
        <v>206</v>
      </c>
      <c r="E154" s="15">
        <f>F154+G154</f>
        <v>2371</v>
      </c>
      <c r="F154" s="15">
        <v>2371</v>
      </c>
      <c r="G154" s="7"/>
      <c r="H154" s="7"/>
      <c r="I154" s="15">
        <f t="shared" si="7"/>
        <v>2371</v>
      </c>
      <c r="J154" s="15">
        <v>2371</v>
      </c>
      <c r="K154" s="7"/>
      <c r="L154" s="7"/>
      <c r="M154" s="7"/>
    </row>
    <row r="155" spans="1:15" s="22" customFormat="1" ht="19.5" customHeight="1" x14ac:dyDescent="0.25">
      <c r="A155" s="101"/>
      <c r="B155" s="67" t="s">
        <v>207</v>
      </c>
      <c r="C155" s="101"/>
      <c r="D155" s="103"/>
      <c r="E155" s="15">
        <f t="shared" si="6"/>
        <v>818.7</v>
      </c>
      <c r="F155" s="15">
        <v>818.7</v>
      </c>
      <c r="G155" s="7"/>
      <c r="H155" s="7"/>
      <c r="I155" s="15">
        <f t="shared" si="7"/>
        <v>818.7</v>
      </c>
      <c r="J155" s="15">
        <v>818.7</v>
      </c>
      <c r="K155" s="7"/>
      <c r="L155" s="7"/>
      <c r="M155" s="7"/>
    </row>
    <row r="156" spans="1:15" s="22" customFormat="1" ht="19.5" customHeight="1" x14ac:dyDescent="0.25">
      <c r="A156" s="96"/>
      <c r="B156" s="67" t="s">
        <v>208</v>
      </c>
      <c r="C156" s="96"/>
      <c r="D156" s="104"/>
      <c r="E156" s="15">
        <f t="shared" si="6"/>
        <v>7368.3</v>
      </c>
      <c r="F156" s="15"/>
      <c r="G156" s="15">
        <v>7368.3</v>
      </c>
      <c r="H156" s="15"/>
      <c r="I156" s="15">
        <f t="shared" si="7"/>
        <v>7368.3</v>
      </c>
      <c r="J156" s="15"/>
      <c r="K156" s="15">
        <v>7368.3</v>
      </c>
      <c r="L156" s="15"/>
      <c r="M156" s="15"/>
      <c r="O156" s="44"/>
    </row>
    <row r="157" spans="1:15" s="22" customFormat="1" ht="36.75" customHeight="1" x14ac:dyDescent="0.25">
      <c r="A157" s="67" t="s">
        <v>79</v>
      </c>
      <c r="B157" s="69" t="s">
        <v>205</v>
      </c>
      <c r="C157" s="69" t="s">
        <v>22</v>
      </c>
      <c r="D157" s="66" t="s">
        <v>209</v>
      </c>
      <c r="E157" s="15">
        <f t="shared" si="6"/>
        <v>381.5</v>
      </c>
      <c r="F157" s="15">
        <v>381.5</v>
      </c>
      <c r="G157" s="15"/>
      <c r="H157" s="15"/>
      <c r="I157" s="15">
        <f t="shared" si="7"/>
        <v>381.5</v>
      </c>
      <c r="J157" s="15">
        <f>1000-618.5</f>
        <v>381.5</v>
      </c>
      <c r="K157" s="15"/>
      <c r="L157" s="15"/>
      <c r="M157" s="15"/>
    </row>
    <row r="158" spans="1:15" s="22" customFormat="1" ht="51" customHeight="1" x14ac:dyDescent="0.25">
      <c r="A158" s="67" t="s">
        <v>79</v>
      </c>
      <c r="B158" s="69" t="s">
        <v>210</v>
      </c>
      <c r="C158" s="67" t="s">
        <v>22</v>
      </c>
      <c r="D158" s="66" t="s">
        <v>211</v>
      </c>
      <c r="E158" s="15">
        <f t="shared" si="6"/>
        <v>48000</v>
      </c>
      <c r="F158" s="15">
        <v>2400</v>
      </c>
      <c r="G158" s="15">
        <v>45600</v>
      </c>
      <c r="H158" s="15"/>
      <c r="I158" s="15">
        <f t="shared" si="7"/>
        <v>65000</v>
      </c>
      <c r="J158" s="15">
        <f>561+2689</f>
        <v>3250</v>
      </c>
      <c r="K158" s="15">
        <v>61750</v>
      </c>
      <c r="L158" s="15"/>
      <c r="M158" s="15"/>
    </row>
    <row r="159" spans="1:15" s="22" customFormat="1" ht="51.75" customHeight="1" x14ac:dyDescent="0.25">
      <c r="A159" s="67" t="s">
        <v>79</v>
      </c>
      <c r="B159" s="69" t="s">
        <v>205</v>
      </c>
      <c r="C159" s="67" t="s">
        <v>22</v>
      </c>
      <c r="D159" s="66" t="s">
        <v>212</v>
      </c>
      <c r="E159" s="15">
        <f t="shared" si="6"/>
        <v>19995</v>
      </c>
      <c r="F159" s="15">
        <v>19995</v>
      </c>
      <c r="G159" s="15"/>
      <c r="H159" s="15"/>
      <c r="I159" s="15">
        <f t="shared" si="7"/>
        <v>20000</v>
      </c>
      <c r="J159" s="15">
        <v>20000</v>
      </c>
      <c r="K159" s="15"/>
      <c r="L159" s="15"/>
      <c r="M159" s="15"/>
    </row>
    <row r="160" spans="1:15" s="22" customFormat="1" ht="25.5" customHeight="1" x14ac:dyDescent="0.25">
      <c r="A160" s="95" t="s">
        <v>79</v>
      </c>
      <c r="B160" s="69" t="s">
        <v>205</v>
      </c>
      <c r="C160" s="95" t="s">
        <v>22</v>
      </c>
      <c r="D160" s="102" t="s">
        <v>213</v>
      </c>
      <c r="E160" s="15">
        <f>F160+G160</f>
        <v>541</v>
      </c>
      <c r="F160" s="15">
        <v>541</v>
      </c>
      <c r="G160" s="15"/>
      <c r="H160" s="15"/>
      <c r="I160" s="15">
        <f t="shared" si="7"/>
        <v>541</v>
      </c>
      <c r="J160" s="15">
        <v>541</v>
      </c>
      <c r="K160" s="15"/>
      <c r="L160" s="15"/>
      <c r="M160" s="15"/>
      <c r="O160" s="44"/>
    </row>
    <row r="161" spans="1:13" s="22" customFormat="1" ht="25.5" customHeight="1" x14ac:dyDescent="0.25">
      <c r="A161" s="96"/>
      <c r="B161" s="69" t="s">
        <v>171</v>
      </c>
      <c r="C161" s="96"/>
      <c r="D161" s="104"/>
      <c r="E161" s="15">
        <f t="shared" si="6"/>
        <v>2499.5</v>
      </c>
      <c r="F161" s="29">
        <v>2499.5</v>
      </c>
      <c r="G161" s="15"/>
      <c r="H161" s="15"/>
      <c r="I161" s="15">
        <f t="shared" si="7"/>
        <v>2499.5243999999998</v>
      </c>
      <c r="J161" s="29">
        <v>2499.5243999999998</v>
      </c>
      <c r="K161" s="15"/>
      <c r="L161" s="15"/>
      <c r="M161" s="15"/>
    </row>
    <row r="162" spans="1:13" s="22" customFormat="1" ht="31.5" customHeight="1" x14ac:dyDescent="0.25">
      <c r="A162" s="67" t="s">
        <v>79</v>
      </c>
      <c r="B162" s="67" t="s">
        <v>205</v>
      </c>
      <c r="C162" s="67" t="s">
        <v>22</v>
      </c>
      <c r="D162" s="68" t="s">
        <v>53</v>
      </c>
      <c r="E162" s="15">
        <f t="shared" si="6"/>
        <v>0</v>
      </c>
      <c r="F162" s="15">
        <v>0</v>
      </c>
      <c r="G162" s="15"/>
      <c r="H162" s="15"/>
      <c r="I162" s="15">
        <f t="shared" si="7"/>
        <v>450</v>
      </c>
      <c r="J162" s="15">
        <f>100+50+300</f>
        <v>450</v>
      </c>
      <c r="K162" s="15"/>
      <c r="L162" s="15"/>
      <c r="M162" s="15"/>
    </row>
    <row r="163" spans="1:13" ht="45.75" customHeight="1" x14ac:dyDescent="0.25">
      <c r="A163" s="83" t="s">
        <v>214</v>
      </c>
      <c r="B163" s="83"/>
      <c r="C163" s="83"/>
      <c r="D163" s="83"/>
      <c r="E163" s="7">
        <f t="shared" si="6"/>
        <v>26375.5</v>
      </c>
      <c r="F163" s="7">
        <f>F164+F170</f>
        <v>24611.7</v>
      </c>
      <c r="G163" s="7">
        <f>G164+G170</f>
        <v>1763.8</v>
      </c>
      <c r="H163" s="7"/>
      <c r="I163" s="7">
        <f t="shared" si="7"/>
        <v>27403.8</v>
      </c>
      <c r="J163" s="7">
        <f>J164+J170</f>
        <v>25638.399999999998</v>
      </c>
      <c r="K163" s="7">
        <f>K164+K170</f>
        <v>1765.4</v>
      </c>
      <c r="L163" s="7"/>
      <c r="M163" s="7"/>
    </row>
    <row r="164" spans="1:13" ht="25.5" customHeight="1" x14ac:dyDescent="0.25">
      <c r="A164" s="9" t="s">
        <v>24</v>
      </c>
      <c r="B164" s="67"/>
      <c r="C164" s="67"/>
      <c r="D164" s="61" t="s">
        <v>25</v>
      </c>
      <c r="E164" s="7">
        <f t="shared" si="6"/>
        <v>24515.7</v>
      </c>
      <c r="F164" s="7">
        <f>F165+F168</f>
        <v>24515.7</v>
      </c>
      <c r="G164" s="7"/>
      <c r="H164" s="7"/>
      <c r="I164" s="7">
        <f t="shared" si="7"/>
        <v>25460.799999999999</v>
      </c>
      <c r="J164" s="7">
        <f>J165+J168</f>
        <v>25460.799999999999</v>
      </c>
      <c r="K164" s="7"/>
      <c r="L164" s="7"/>
      <c r="M164" s="7"/>
    </row>
    <row r="165" spans="1:13" ht="25.5" customHeight="1" x14ac:dyDescent="0.25">
      <c r="A165" s="11" t="s">
        <v>215</v>
      </c>
      <c r="B165" s="39"/>
      <c r="C165" s="39"/>
      <c r="D165" s="26" t="s">
        <v>216</v>
      </c>
      <c r="E165" s="7">
        <f t="shared" si="6"/>
        <v>11315.7</v>
      </c>
      <c r="F165" s="7">
        <f>F166+F167</f>
        <v>11315.7</v>
      </c>
      <c r="G165" s="7"/>
      <c r="H165" s="7"/>
      <c r="I165" s="7">
        <f t="shared" si="7"/>
        <v>12260.8</v>
      </c>
      <c r="J165" s="7">
        <f>J166+J167</f>
        <v>12260.8</v>
      </c>
      <c r="K165" s="7"/>
      <c r="L165" s="7"/>
      <c r="M165" s="7"/>
    </row>
    <row r="166" spans="1:13" ht="42.75" customHeight="1" x14ac:dyDescent="0.25">
      <c r="A166" s="67" t="s">
        <v>215</v>
      </c>
      <c r="B166" s="69" t="s">
        <v>217</v>
      </c>
      <c r="C166" s="67">
        <v>200</v>
      </c>
      <c r="D166" s="68" t="s">
        <v>218</v>
      </c>
      <c r="E166" s="15">
        <f t="shared" si="6"/>
        <v>11170.7</v>
      </c>
      <c r="F166" s="29">
        <v>11170.7</v>
      </c>
      <c r="G166" s="7"/>
      <c r="H166" s="7"/>
      <c r="I166" s="15">
        <f t="shared" si="7"/>
        <v>12080</v>
      </c>
      <c r="J166" s="29">
        <f>2636+10000-461-95</f>
        <v>12080</v>
      </c>
      <c r="K166" s="7"/>
      <c r="L166" s="7"/>
      <c r="M166" s="7"/>
    </row>
    <row r="167" spans="1:13" ht="51.75" customHeight="1" x14ac:dyDescent="0.25">
      <c r="A167" s="67" t="s">
        <v>215</v>
      </c>
      <c r="B167" s="69" t="s">
        <v>219</v>
      </c>
      <c r="C167" s="67">
        <v>200</v>
      </c>
      <c r="D167" s="68" t="s">
        <v>220</v>
      </c>
      <c r="E167" s="15">
        <f t="shared" si="6"/>
        <v>145</v>
      </c>
      <c r="F167" s="29">
        <v>145</v>
      </c>
      <c r="G167" s="15"/>
      <c r="H167" s="15"/>
      <c r="I167" s="15">
        <f t="shared" si="7"/>
        <v>180.8</v>
      </c>
      <c r="J167" s="29">
        <f>85.8+95</f>
        <v>180.8</v>
      </c>
      <c r="K167" s="15"/>
      <c r="L167" s="15"/>
      <c r="M167" s="15"/>
    </row>
    <row r="168" spans="1:13" ht="21" customHeight="1" x14ac:dyDescent="0.25">
      <c r="A168" s="9" t="s">
        <v>36</v>
      </c>
      <c r="B168" s="9"/>
      <c r="C168" s="9"/>
      <c r="D168" s="61" t="s">
        <v>37</v>
      </c>
      <c r="E168" s="7">
        <f t="shared" si="6"/>
        <v>13200</v>
      </c>
      <c r="F168" s="7">
        <f>F169</f>
        <v>13200</v>
      </c>
      <c r="G168" s="15"/>
      <c r="H168" s="15"/>
      <c r="I168" s="7">
        <f t="shared" si="7"/>
        <v>13200</v>
      </c>
      <c r="J168" s="7">
        <f>J169</f>
        <v>13200</v>
      </c>
      <c r="K168" s="15"/>
      <c r="L168" s="15"/>
      <c r="M168" s="15"/>
    </row>
    <row r="169" spans="1:13" ht="43.5" customHeight="1" x14ac:dyDescent="0.25">
      <c r="A169" s="69" t="s">
        <v>36</v>
      </c>
      <c r="B169" s="69" t="s">
        <v>221</v>
      </c>
      <c r="C169" s="69" t="s">
        <v>29</v>
      </c>
      <c r="D169" s="68" t="s">
        <v>222</v>
      </c>
      <c r="E169" s="15">
        <f t="shared" si="6"/>
        <v>13200</v>
      </c>
      <c r="F169" s="15">
        <v>13200</v>
      </c>
      <c r="G169" s="15"/>
      <c r="H169" s="15"/>
      <c r="I169" s="15">
        <f t="shared" si="7"/>
        <v>13200</v>
      </c>
      <c r="J169" s="15">
        <v>13200</v>
      </c>
      <c r="K169" s="15"/>
      <c r="L169" s="15"/>
      <c r="M169" s="15"/>
    </row>
    <row r="170" spans="1:13" s="22" customFormat="1" ht="23.25" customHeight="1" x14ac:dyDescent="0.25">
      <c r="A170" s="11" t="s">
        <v>71</v>
      </c>
      <c r="B170" s="24"/>
      <c r="C170" s="25"/>
      <c r="D170" s="26" t="s">
        <v>72</v>
      </c>
      <c r="E170" s="7">
        <f t="shared" si="6"/>
        <v>1859.8</v>
      </c>
      <c r="F170" s="7">
        <f>F171</f>
        <v>96</v>
      </c>
      <c r="G170" s="7">
        <f>G171</f>
        <v>1763.8</v>
      </c>
      <c r="H170" s="7"/>
      <c r="I170" s="7">
        <f t="shared" si="7"/>
        <v>1943</v>
      </c>
      <c r="J170" s="7">
        <f>J171</f>
        <v>177.6</v>
      </c>
      <c r="K170" s="7">
        <f>K171</f>
        <v>1765.4</v>
      </c>
      <c r="L170" s="7"/>
      <c r="M170" s="7"/>
    </row>
    <row r="171" spans="1:13" s="22" customFormat="1" ht="21.75" customHeight="1" x14ac:dyDescent="0.25">
      <c r="A171" s="11" t="s">
        <v>73</v>
      </c>
      <c r="B171" s="24"/>
      <c r="C171" s="25"/>
      <c r="D171" s="62" t="s">
        <v>74</v>
      </c>
      <c r="E171" s="7">
        <f t="shared" si="6"/>
        <v>1859.8</v>
      </c>
      <c r="F171" s="7">
        <f>SUM(F172:F173)</f>
        <v>96</v>
      </c>
      <c r="G171" s="7">
        <f>SUM(G172:G173)</f>
        <v>1763.8</v>
      </c>
      <c r="H171" s="7"/>
      <c r="I171" s="7">
        <f t="shared" si="7"/>
        <v>1943</v>
      </c>
      <c r="J171" s="7">
        <f>SUM(J172:J173)</f>
        <v>177.6</v>
      </c>
      <c r="K171" s="7">
        <f>SUM(K172:K173)</f>
        <v>1765.4</v>
      </c>
      <c r="L171" s="7"/>
      <c r="M171" s="7"/>
    </row>
    <row r="172" spans="1:13" s="22" customFormat="1" ht="31.5" customHeight="1" x14ac:dyDescent="0.25">
      <c r="A172" s="35" t="s">
        <v>73</v>
      </c>
      <c r="B172" s="67" t="s">
        <v>223</v>
      </c>
      <c r="C172" s="67" t="s">
        <v>22</v>
      </c>
      <c r="D172" s="47" t="s">
        <v>53</v>
      </c>
      <c r="E172" s="15">
        <f t="shared" si="6"/>
        <v>96</v>
      </c>
      <c r="F172" s="15">
        <v>96</v>
      </c>
      <c r="G172" s="7"/>
      <c r="H172" s="7"/>
      <c r="I172" s="15">
        <f t="shared" si="7"/>
        <v>177.6</v>
      </c>
      <c r="J172" s="15">
        <v>177.6</v>
      </c>
      <c r="K172" s="7"/>
      <c r="L172" s="7"/>
      <c r="M172" s="7"/>
    </row>
    <row r="173" spans="1:13" ht="51.75" customHeight="1" x14ac:dyDescent="0.25">
      <c r="A173" s="35" t="s">
        <v>73</v>
      </c>
      <c r="B173" s="67" t="s">
        <v>224</v>
      </c>
      <c r="C173" s="67" t="s">
        <v>22</v>
      </c>
      <c r="D173" s="47" t="s">
        <v>225</v>
      </c>
      <c r="E173" s="15">
        <f>G173</f>
        <v>1763.8</v>
      </c>
      <c r="F173" s="15"/>
      <c r="G173" s="15">
        <v>1763.8</v>
      </c>
      <c r="H173" s="15"/>
      <c r="I173" s="15">
        <f>K173</f>
        <v>1765.4</v>
      </c>
      <c r="J173" s="15"/>
      <c r="K173" s="15">
        <f>1598.9+166.5</f>
        <v>1765.4</v>
      </c>
      <c r="L173" s="15"/>
      <c r="M173" s="15"/>
    </row>
    <row r="174" spans="1:13" ht="40.5" customHeight="1" x14ac:dyDescent="0.25">
      <c r="A174" s="83" t="s">
        <v>226</v>
      </c>
      <c r="B174" s="83"/>
      <c r="C174" s="83"/>
      <c r="D174" s="83"/>
      <c r="E174" s="7">
        <f>F174+G174+H174</f>
        <v>122044.2</v>
      </c>
      <c r="F174" s="7">
        <f>F175+F178</f>
        <v>76781.399999999994</v>
      </c>
      <c r="G174" s="7">
        <f>G175+G178</f>
        <v>45262.8</v>
      </c>
      <c r="H174" s="7"/>
      <c r="I174" s="7">
        <f>J174+K174+L174</f>
        <v>122044.2</v>
      </c>
      <c r="J174" s="7">
        <f>J175+J178</f>
        <v>76781.399999999994</v>
      </c>
      <c r="K174" s="7">
        <f>K175+K178</f>
        <v>45262.8</v>
      </c>
      <c r="L174" s="7"/>
      <c r="M174" s="7"/>
    </row>
    <row r="175" spans="1:13" ht="23.25" customHeight="1" x14ac:dyDescent="0.25">
      <c r="A175" s="9" t="s">
        <v>24</v>
      </c>
      <c r="B175" s="67"/>
      <c r="C175" s="67"/>
      <c r="D175" s="61" t="s">
        <v>25</v>
      </c>
      <c r="E175" s="7">
        <f t="shared" ref="E175:E180" si="8">F175+G175</f>
        <v>76781.399999999994</v>
      </c>
      <c r="F175" s="7">
        <f>F176+F178</f>
        <v>76781.399999999994</v>
      </c>
      <c r="G175" s="7"/>
      <c r="H175" s="7"/>
      <c r="I175" s="7">
        <f t="shared" ref="I175:I180" si="9">J175+K175</f>
        <v>76781.399999999994</v>
      </c>
      <c r="J175" s="7">
        <f>J176+J178</f>
        <v>76781.399999999994</v>
      </c>
      <c r="K175" s="7"/>
      <c r="L175" s="7"/>
      <c r="M175" s="7"/>
    </row>
    <row r="176" spans="1:13" ht="23.25" customHeight="1" x14ac:dyDescent="0.25">
      <c r="A176" s="11" t="s">
        <v>215</v>
      </c>
      <c r="B176" s="39"/>
      <c r="C176" s="39"/>
      <c r="D176" s="26" t="s">
        <v>216</v>
      </c>
      <c r="E176" s="7">
        <f t="shared" si="8"/>
        <v>76781.399999999994</v>
      </c>
      <c r="F176" s="7">
        <f>F177</f>
        <v>76781.399999999994</v>
      </c>
      <c r="G176" s="7"/>
      <c r="H176" s="7"/>
      <c r="I176" s="7">
        <f t="shared" si="9"/>
        <v>76781.399999999994</v>
      </c>
      <c r="J176" s="7">
        <f>J177</f>
        <v>76781.399999999994</v>
      </c>
      <c r="K176" s="7"/>
      <c r="L176" s="7"/>
      <c r="M176" s="7"/>
    </row>
    <row r="177" spans="1:13" ht="28.5" customHeight="1" x14ac:dyDescent="0.25">
      <c r="A177" s="69" t="s">
        <v>215</v>
      </c>
      <c r="B177" s="69" t="s">
        <v>227</v>
      </c>
      <c r="C177" s="48" t="s">
        <v>29</v>
      </c>
      <c r="D177" s="68" t="s">
        <v>228</v>
      </c>
      <c r="E177" s="15">
        <f t="shared" si="8"/>
        <v>76781.399999999994</v>
      </c>
      <c r="F177" s="41">
        <v>76781.399999999994</v>
      </c>
      <c r="G177" s="7"/>
      <c r="H177" s="7"/>
      <c r="I177" s="15">
        <f t="shared" si="9"/>
        <v>76781.399999999994</v>
      </c>
      <c r="J177" s="41">
        <f>18000+56300+2481.4</f>
        <v>76781.399999999994</v>
      </c>
      <c r="K177" s="7"/>
      <c r="L177" s="7"/>
      <c r="M177" s="7"/>
    </row>
    <row r="178" spans="1:13" ht="23.25" customHeight="1" x14ac:dyDescent="0.25">
      <c r="A178" s="11" t="s">
        <v>71</v>
      </c>
      <c r="B178" s="24"/>
      <c r="C178" s="25"/>
      <c r="D178" s="26" t="s">
        <v>72</v>
      </c>
      <c r="E178" s="7">
        <f t="shared" si="8"/>
        <v>45262.8</v>
      </c>
      <c r="F178" s="7"/>
      <c r="G178" s="7">
        <f>G179</f>
        <v>45262.8</v>
      </c>
      <c r="H178" s="7"/>
      <c r="I178" s="7">
        <f t="shared" si="9"/>
        <v>45262.8</v>
      </c>
      <c r="J178" s="7"/>
      <c r="K178" s="7">
        <f>K179</f>
        <v>45262.8</v>
      </c>
      <c r="L178" s="7"/>
      <c r="M178" s="7"/>
    </row>
    <row r="179" spans="1:13" ht="21.75" customHeight="1" x14ac:dyDescent="0.25">
      <c r="A179" s="9" t="s">
        <v>73</v>
      </c>
      <c r="B179" s="49"/>
      <c r="C179" s="49"/>
      <c r="D179" s="50" t="s">
        <v>74</v>
      </c>
      <c r="E179" s="7">
        <f>F179+G179</f>
        <v>45262.8</v>
      </c>
      <c r="F179" s="7"/>
      <c r="G179" s="7">
        <f>G180</f>
        <v>45262.8</v>
      </c>
      <c r="H179" s="7"/>
      <c r="I179" s="7">
        <f t="shared" si="9"/>
        <v>45262.8</v>
      </c>
      <c r="J179" s="7"/>
      <c r="K179" s="7">
        <f>K180</f>
        <v>45262.8</v>
      </c>
      <c r="L179" s="7"/>
      <c r="M179" s="7"/>
    </row>
    <row r="180" spans="1:13" ht="68.25" customHeight="1" x14ac:dyDescent="0.25">
      <c r="A180" s="63" t="s">
        <v>73</v>
      </c>
      <c r="B180" s="69" t="s">
        <v>75</v>
      </c>
      <c r="C180" s="63" t="s">
        <v>29</v>
      </c>
      <c r="D180" s="70" t="s">
        <v>229</v>
      </c>
      <c r="E180" s="15">
        <f t="shared" si="8"/>
        <v>45262.8</v>
      </c>
      <c r="F180" s="15"/>
      <c r="G180" s="15">
        <v>45262.8</v>
      </c>
      <c r="H180" s="15"/>
      <c r="I180" s="15">
        <f t="shared" si="9"/>
        <v>45262.8</v>
      </c>
      <c r="J180" s="15"/>
      <c r="K180" s="15">
        <f>65033.2-40736.6+20966.2</f>
        <v>45262.8</v>
      </c>
      <c r="L180" s="15"/>
      <c r="M180" s="15"/>
    </row>
    <row r="181" spans="1:13" ht="24.75" customHeight="1" x14ac:dyDescent="0.25">
      <c r="A181" s="85" t="s">
        <v>230</v>
      </c>
      <c r="B181" s="85"/>
      <c r="C181" s="85"/>
      <c r="D181" s="85"/>
      <c r="E181" s="7">
        <f t="shared" ref="E181:E187" si="10">F181+G181+H181</f>
        <v>179038.7</v>
      </c>
      <c r="F181" s="7">
        <f t="shared" ref="F181:M182" si="11">F182</f>
        <v>17156</v>
      </c>
      <c r="G181" s="7">
        <f t="shared" si="11"/>
        <v>154401.60000000001</v>
      </c>
      <c r="H181" s="7">
        <f t="shared" si="11"/>
        <v>7481.1</v>
      </c>
      <c r="I181" s="7">
        <f t="shared" ref="I181:I187" si="12">J181+K181+L181</f>
        <v>446252.89999999997</v>
      </c>
      <c r="J181" s="7">
        <f t="shared" si="11"/>
        <v>19445.900000000001</v>
      </c>
      <c r="K181" s="7">
        <f t="shared" si="11"/>
        <v>175010.99999999997</v>
      </c>
      <c r="L181" s="7">
        <f t="shared" si="11"/>
        <v>251796</v>
      </c>
      <c r="M181" s="7">
        <f t="shared" si="11"/>
        <v>-244314.9</v>
      </c>
    </row>
    <row r="182" spans="1:13" ht="24" customHeight="1" x14ac:dyDescent="0.25">
      <c r="A182" s="9" t="s">
        <v>24</v>
      </c>
      <c r="B182" s="67"/>
      <c r="C182" s="67"/>
      <c r="D182" s="61" t="s">
        <v>25</v>
      </c>
      <c r="E182" s="7">
        <f t="shared" si="10"/>
        <v>179038.7</v>
      </c>
      <c r="F182" s="7">
        <f t="shared" si="11"/>
        <v>17156</v>
      </c>
      <c r="G182" s="7">
        <f t="shared" si="11"/>
        <v>154401.60000000001</v>
      </c>
      <c r="H182" s="7">
        <f t="shared" si="11"/>
        <v>7481.1</v>
      </c>
      <c r="I182" s="7">
        <f t="shared" si="12"/>
        <v>446252.89999999997</v>
      </c>
      <c r="J182" s="7">
        <f t="shared" si="11"/>
        <v>19445.900000000001</v>
      </c>
      <c r="K182" s="7">
        <f t="shared" si="11"/>
        <v>175010.99999999997</v>
      </c>
      <c r="L182" s="7">
        <f t="shared" si="11"/>
        <v>251796</v>
      </c>
      <c r="M182" s="7">
        <f t="shared" si="11"/>
        <v>-244314.9</v>
      </c>
    </row>
    <row r="183" spans="1:13" ht="24" customHeight="1" x14ac:dyDescent="0.25">
      <c r="A183" s="9" t="s">
        <v>26</v>
      </c>
      <c r="B183" s="67"/>
      <c r="C183" s="67"/>
      <c r="D183" s="62" t="s">
        <v>27</v>
      </c>
      <c r="E183" s="7">
        <f t="shared" si="10"/>
        <v>179038.7</v>
      </c>
      <c r="F183" s="7">
        <f>F184+F185+F186</f>
        <v>17156</v>
      </c>
      <c r="G183" s="7">
        <f>G184+G186</f>
        <v>154401.60000000001</v>
      </c>
      <c r="H183" s="7">
        <f>H184+H186</f>
        <v>7481.1</v>
      </c>
      <c r="I183" s="7">
        <f t="shared" si="12"/>
        <v>446252.89999999997</v>
      </c>
      <c r="J183" s="7">
        <f>J184+J185+J186</f>
        <v>19445.900000000001</v>
      </c>
      <c r="K183" s="7">
        <f>K184+K186</f>
        <v>175010.99999999997</v>
      </c>
      <c r="L183" s="7">
        <f>L184+L186</f>
        <v>251796</v>
      </c>
      <c r="M183" s="7">
        <f>M184+M186</f>
        <v>-244314.9</v>
      </c>
    </row>
    <row r="184" spans="1:13" ht="36.75" customHeight="1" x14ac:dyDescent="0.25">
      <c r="A184" s="69" t="s">
        <v>26</v>
      </c>
      <c r="B184" s="69" t="s">
        <v>231</v>
      </c>
      <c r="C184" s="69" t="s">
        <v>29</v>
      </c>
      <c r="D184" s="51" t="s">
        <v>232</v>
      </c>
      <c r="E184" s="15">
        <f t="shared" si="10"/>
        <v>7481.1</v>
      </c>
      <c r="F184" s="15"/>
      <c r="G184" s="15"/>
      <c r="H184" s="15">
        <v>7481.1</v>
      </c>
      <c r="I184" s="15">
        <f t="shared" si="12"/>
        <v>251796</v>
      </c>
      <c r="J184" s="15"/>
      <c r="K184" s="15"/>
      <c r="L184" s="15">
        <f>210000+41796</f>
        <v>251796</v>
      </c>
      <c r="M184" s="15">
        <f>H184-L184</f>
        <v>-244314.9</v>
      </c>
    </row>
    <row r="185" spans="1:13" ht="35.25" customHeight="1" x14ac:dyDescent="0.25">
      <c r="A185" s="86" t="s">
        <v>26</v>
      </c>
      <c r="B185" s="69" t="s">
        <v>233</v>
      </c>
      <c r="C185" s="69" t="s">
        <v>29</v>
      </c>
      <c r="D185" s="105" t="s">
        <v>234</v>
      </c>
      <c r="E185" s="15">
        <f t="shared" si="10"/>
        <v>17156</v>
      </c>
      <c r="F185" s="15">
        <v>17156</v>
      </c>
      <c r="G185" s="15"/>
      <c r="H185" s="15"/>
      <c r="I185" s="15">
        <f t="shared" si="12"/>
        <v>19445.900000000001</v>
      </c>
      <c r="J185" s="15">
        <f>17440.4-977.1+2982.6</f>
        <v>19445.900000000001</v>
      </c>
      <c r="K185" s="15"/>
      <c r="L185" s="15"/>
      <c r="M185" s="15"/>
    </row>
    <row r="186" spans="1:13" ht="33" customHeight="1" x14ac:dyDescent="0.25">
      <c r="A186" s="87"/>
      <c r="B186" s="69" t="s">
        <v>235</v>
      </c>
      <c r="C186" s="69" t="s">
        <v>29</v>
      </c>
      <c r="D186" s="106"/>
      <c r="E186" s="15">
        <f t="shared" si="10"/>
        <v>154401.60000000001</v>
      </c>
      <c r="F186" s="15"/>
      <c r="G186" s="15">
        <v>154401.60000000001</v>
      </c>
      <c r="H186" s="15"/>
      <c r="I186" s="15">
        <f t="shared" si="12"/>
        <v>175010.99999999997</v>
      </c>
      <c r="J186" s="15"/>
      <c r="K186" s="15">
        <f>104780.8+46942.4+504302.8-604514.3+149047.9-8793.3-16755.3</f>
        <v>175010.99999999997</v>
      </c>
      <c r="L186" s="15"/>
      <c r="M186" s="15"/>
    </row>
    <row r="187" spans="1:13" s="22" customFormat="1" ht="27" customHeight="1" x14ac:dyDescent="0.25">
      <c r="A187" s="107" t="s">
        <v>236</v>
      </c>
      <c r="B187" s="108"/>
      <c r="C187" s="108"/>
      <c r="D187" s="109"/>
      <c r="E187" s="7">
        <f t="shared" si="10"/>
        <v>1425</v>
      </c>
      <c r="F187" s="7">
        <f t="shared" ref="F187:G189" si="13">F188</f>
        <v>375</v>
      </c>
      <c r="G187" s="7">
        <f t="shared" si="13"/>
        <v>1050</v>
      </c>
      <c r="H187" s="7"/>
      <c r="I187" s="7">
        <f t="shared" si="12"/>
        <v>1425</v>
      </c>
      <c r="J187" s="7">
        <f t="shared" ref="J187:K189" si="14">J188</f>
        <v>375</v>
      </c>
      <c r="K187" s="7">
        <f t="shared" si="14"/>
        <v>1050</v>
      </c>
      <c r="L187" s="7"/>
      <c r="M187" s="7"/>
    </row>
    <row r="188" spans="1:13" ht="25.5" customHeight="1" x14ac:dyDescent="0.25">
      <c r="A188" s="9" t="s">
        <v>24</v>
      </c>
      <c r="B188" s="67"/>
      <c r="C188" s="67"/>
      <c r="D188" s="61" t="s">
        <v>25</v>
      </c>
      <c r="E188" s="7">
        <f>F188+G188</f>
        <v>1425</v>
      </c>
      <c r="F188" s="7">
        <f t="shared" si="13"/>
        <v>375</v>
      </c>
      <c r="G188" s="7">
        <f t="shared" si="13"/>
        <v>1050</v>
      </c>
      <c r="H188" s="7"/>
      <c r="I188" s="7">
        <f>J188+K188</f>
        <v>1425</v>
      </c>
      <c r="J188" s="7">
        <f t="shared" si="14"/>
        <v>375</v>
      </c>
      <c r="K188" s="7">
        <f t="shared" si="14"/>
        <v>1050</v>
      </c>
      <c r="L188" s="7"/>
      <c r="M188" s="7"/>
    </row>
    <row r="189" spans="1:13" ht="24.75" customHeight="1" x14ac:dyDescent="0.25">
      <c r="A189" s="9" t="s">
        <v>36</v>
      </c>
      <c r="B189" s="9"/>
      <c r="C189" s="9"/>
      <c r="D189" s="61" t="s">
        <v>37</v>
      </c>
      <c r="E189" s="7">
        <f>F189+G189</f>
        <v>1425</v>
      </c>
      <c r="F189" s="7">
        <f t="shared" si="13"/>
        <v>375</v>
      </c>
      <c r="G189" s="7">
        <f t="shared" si="13"/>
        <v>1050</v>
      </c>
      <c r="H189" s="15"/>
      <c r="I189" s="7">
        <f>J189+K189</f>
        <v>1425</v>
      </c>
      <c r="J189" s="7">
        <f t="shared" si="14"/>
        <v>375</v>
      </c>
      <c r="K189" s="7">
        <f t="shared" si="14"/>
        <v>1050</v>
      </c>
      <c r="L189" s="15"/>
      <c r="M189" s="15"/>
    </row>
    <row r="190" spans="1:13" s="18" customFormat="1" ht="39" customHeight="1" x14ac:dyDescent="0.25">
      <c r="A190" s="69" t="s">
        <v>36</v>
      </c>
      <c r="B190" s="69" t="s">
        <v>237</v>
      </c>
      <c r="C190" s="69" t="s">
        <v>22</v>
      </c>
      <c r="D190" s="68" t="s">
        <v>238</v>
      </c>
      <c r="E190" s="15">
        <f>F190+G190+H190</f>
        <v>1425</v>
      </c>
      <c r="F190" s="15">
        <v>375</v>
      </c>
      <c r="G190" s="15">
        <v>1050</v>
      </c>
      <c r="H190" s="15"/>
      <c r="I190" s="15">
        <f>J190+K190+L190</f>
        <v>1425</v>
      </c>
      <c r="J190" s="15">
        <v>375</v>
      </c>
      <c r="K190" s="15">
        <v>1050</v>
      </c>
      <c r="L190" s="15"/>
      <c r="M190" s="15"/>
    </row>
    <row r="191" spans="1:13" s="5" customFormat="1" ht="21.75" customHeight="1" x14ac:dyDescent="0.25">
      <c r="A191" s="110" t="s">
        <v>239</v>
      </c>
      <c r="B191" s="110"/>
      <c r="C191" s="110"/>
      <c r="D191" s="71"/>
      <c r="E191" s="7">
        <f>F191+G191+H191</f>
        <v>2925512.9000000004</v>
      </c>
      <c r="F191" s="7">
        <f>SUM(F15+F163+F174+F181+F187)</f>
        <v>921405.70000000007</v>
      </c>
      <c r="G191" s="7">
        <f>SUM(G15+G163+G174+G181+G187)</f>
        <v>1996626.1000000003</v>
      </c>
      <c r="H191" s="7">
        <f>SUM(H15+H163+H174+H181)</f>
        <v>7481.1</v>
      </c>
      <c r="I191" s="7">
        <f>J191+K191+L191</f>
        <v>3364024.9243999999</v>
      </c>
      <c r="J191" s="7">
        <f>SUM(J15+J163+J174+J181+J187)</f>
        <v>1024899.0244</v>
      </c>
      <c r="K191" s="7">
        <f>SUM(K15+K163+K174+K181+K187)</f>
        <v>2087329.9</v>
      </c>
      <c r="L191" s="7">
        <f>SUM(L15+L163+L174+L181)</f>
        <v>251796</v>
      </c>
      <c r="M191" s="7">
        <f>SUM(M15+M163+M174+M181)</f>
        <v>-244314.9</v>
      </c>
    </row>
    <row r="192" spans="1:13" s="5" customFormat="1" ht="18.75" customHeight="1" x14ac:dyDescent="0.25">
      <c r="A192" s="52"/>
      <c r="B192" s="52"/>
      <c r="C192" s="52"/>
      <c r="D192" s="52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1:13" s="5" customFormat="1" ht="18.75" customHeight="1" x14ac:dyDescent="0.25">
      <c r="A193" s="52"/>
      <c r="B193" s="52"/>
      <c r="C193" s="52"/>
      <c r="D193" s="52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1:13" s="5" customFormat="1" ht="16.5" x14ac:dyDescent="0.25">
      <c r="A194" s="52"/>
      <c r="B194" s="52"/>
      <c r="C194" s="52"/>
      <c r="D194" s="52"/>
      <c r="E194" s="54"/>
      <c r="F194" s="54"/>
      <c r="G194" s="54"/>
      <c r="H194" s="54"/>
      <c r="I194" s="54"/>
      <c r="J194" s="54"/>
      <c r="K194" s="54"/>
      <c r="L194" s="54"/>
      <c r="M194" s="54"/>
    </row>
  </sheetData>
  <mergeCells count="64">
    <mergeCell ref="A185:A186"/>
    <mergeCell ref="D185:D186"/>
    <mergeCell ref="A187:D187"/>
    <mergeCell ref="A191:C191"/>
    <mergeCell ref="A160:A161"/>
    <mergeCell ref="C160:C161"/>
    <mergeCell ref="D160:D161"/>
    <mergeCell ref="A163:D163"/>
    <mergeCell ref="A174:D174"/>
    <mergeCell ref="A181:D181"/>
    <mergeCell ref="A146:A148"/>
    <mergeCell ref="C146:C148"/>
    <mergeCell ref="D146:D148"/>
    <mergeCell ref="A154:A156"/>
    <mergeCell ref="C154:C156"/>
    <mergeCell ref="D154:D156"/>
    <mergeCell ref="A116:A117"/>
    <mergeCell ref="C116:C117"/>
    <mergeCell ref="D116:D117"/>
    <mergeCell ref="A125:A127"/>
    <mergeCell ref="C125:C127"/>
    <mergeCell ref="D125:D127"/>
    <mergeCell ref="A98:A99"/>
    <mergeCell ref="C98:C99"/>
    <mergeCell ref="D98:D99"/>
    <mergeCell ref="A112:A113"/>
    <mergeCell ref="C112:C113"/>
    <mergeCell ref="D112:D113"/>
    <mergeCell ref="A61:A63"/>
    <mergeCell ref="C61:C63"/>
    <mergeCell ref="D61:D63"/>
    <mergeCell ref="A93:A94"/>
    <mergeCell ref="C93:C94"/>
    <mergeCell ref="D93:D94"/>
    <mergeCell ref="G10:H10"/>
    <mergeCell ref="A55:D55"/>
    <mergeCell ref="K12:K13"/>
    <mergeCell ref="L12:L13"/>
    <mergeCell ref="I11:I13"/>
    <mergeCell ref="A16:D16"/>
    <mergeCell ref="A25:A26"/>
    <mergeCell ref="C25:C26"/>
    <mergeCell ref="D25:D26"/>
    <mergeCell ref="D53:D54"/>
    <mergeCell ref="A15:D15"/>
    <mergeCell ref="J11:L11"/>
    <mergeCell ref="A12:A13"/>
    <mergeCell ref="B12:B13"/>
    <mergeCell ref="C12:C13"/>
    <mergeCell ref="F12:F13"/>
    <mergeCell ref="M12:M13"/>
    <mergeCell ref="H12:H13"/>
    <mergeCell ref="J12:J13"/>
    <mergeCell ref="A11:C11"/>
    <mergeCell ref="D11:D13"/>
    <mergeCell ref="E11:E13"/>
    <mergeCell ref="F11:H11"/>
    <mergeCell ref="G12:G13"/>
    <mergeCell ref="E4:H4"/>
    <mergeCell ref="I4:L4"/>
    <mergeCell ref="A6:H6"/>
    <mergeCell ref="A7:H7"/>
    <mergeCell ref="A9:H9"/>
    <mergeCell ref="A8:H8"/>
  </mergeCells>
  <pageMargins left="0.55000000000000004" right="0.15748031496062992" top="0.41" bottom="0.15748031496062992" header="0.31496062992125984" footer="0.31496062992125984"/>
  <pageSetup paperSize="9" scale="8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2023-03-10T07:48:52Z</dcterms:modified>
</cp:coreProperties>
</file>